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7A2D7E96-6E34-419A-AE5F-296B3A7E7977}"/>
  <workbookPr updateLinks="never" codeName="Ten_skoroszyt" defaultThemeVersion="124226"/>
  <workbookProtection lockStructure="1"/>
  <bookViews>
    <workbookView xWindow="0" yWindow="0" windowWidth="12660" windowHeight="9390" tabRatio="669" firstSheet="2" activeTab="3"/>
  </bookViews>
  <sheets>
    <sheet name="SYSTEMY" sheetId="5" r:id="rId1"/>
    <sheet name="RURY PALNE" sheetId="1" r:id="rId2"/>
    <sheet name="RURY PALNE-NOWA TAŚMA" sheetId="6" r:id="rId3"/>
    <sheet name="RURY NIEPALNE" sheetId="2" r:id="rId4"/>
    <sheet name="KABLE, WIĄZKI, KORYTA " sheetId="3" r:id="rId5"/>
    <sheet name="DYLATACJE I SZCZELINY" sheetId="4" r:id="rId6"/>
  </sheets>
  <externalReferences>
    <externalReference r:id="rId7"/>
  </externalReferences>
  <definedNames>
    <definedName name="ListaRob">[1]robocze!$C$2:$C$61</definedName>
    <definedName name="ListaRob2">[1]robocze!$F$2:$F$61</definedName>
    <definedName name="Materiał">[1]robocze!$B$2:$B$6</definedName>
    <definedName name="_xlnm.Print_Area" localSheetId="5">'DYLATACJE I SZCZELINY'!$A$1:$Q$239</definedName>
    <definedName name="_xlnm.Print_Area" localSheetId="4">'KABLE, WIĄZKI, KORYTA '!$A$1:$P$91</definedName>
    <definedName name="_xlnm.Print_Area" localSheetId="3">'RURY NIEPALNE'!$A$1:$CG$189</definedName>
    <definedName name="_xlnm.Print_Area" localSheetId="1">'RURY PALNE'!$A$1:$K$224</definedName>
    <definedName name="_xlnm.Print_Area" localSheetId="2">'RURY PALNE-NOWA TAŚMA'!$B$2:$O$106</definedName>
    <definedName name="_xlnm.Print_Titles" localSheetId="5">'DYLATACJE I SZCZELINY'!$1:$6</definedName>
    <definedName name="_xlnm.Print_Titles" localSheetId="4">'KABLE, WIĄZKI, KORYTA '!$1:$7</definedName>
    <definedName name="_xlnm.Print_Titles" localSheetId="3">'RURY NIEPALNE'!$1:$6</definedName>
    <definedName name="_xlnm.Print_Titles" localSheetId="1">'RURY PALNE'!$1:$6</definedName>
  </definedNames>
  <calcPr calcId="162913"/>
</workbook>
</file>

<file path=xl/calcChain.xml><?xml version="1.0" encoding="utf-8"?>
<calcChain xmlns="http://schemas.openxmlformats.org/spreadsheetml/2006/main">
  <c r="K230" i="4" l="1"/>
  <c r="K231" i="4"/>
  <c r="K232" i="4"/>
  <c r="K233" i="4"/>
  <c r="K234" i="4"/>
  <c r="K229" i="4"/>
  <c r="G230" i="4"/>
  <c r="G231" i="4"/>
  <c r="G232" i="4"/>
  <c r="G233" i="4"/>
  <c r="G234" i="4"/>
  <c r="G229" i="4"/>
  <c r="N49" i="6" l="1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48" i="6"/>
  <c r="N37" i="6"/>
  <c r="N38" i="6"/>
  <c r="N39" i="6"/>
  <c r="N40" i="6"/>
  <c r="N41" i="6"/>
  <c r="N42" i="6"/>
  <c r="N43" i="6"/>
  <c r="N36" i="6"/>
  <c r="N30" i="6"/>
  <c r="N31" i="6"/>
  <c r="N29" i="6"/>
  <c r="N19" i="6"/>
  <c r="N20" i="6"/>
  <c r="N21" i="6"/>
  <c r="N22" i="6"/>
  <c r="N23" i="6"/>
  <c r="N24" i="6"/>
  <c r="N18" i="6"/>
  <c r="G162" i="1" l="1"/>
  <c r="G163" i="1"/>
  <c r="G164" i="1"/>
  <c r="G165" i="1"/>
  <c r="G166" i="1"/>
  <c r="G167" i="1"/>
  <c r="G168" i="1"/>
  <c r="G169" i="1"/>
  <c r="G170" i="1"/>
  <c r="G171" i="1"/>
  <c r="G172" i="1"/>
  <c r="G173" i="1"/>
  <c r="G16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41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20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96" i="1"/>
  <c r="G77" i="1"/>
  <c r="G78" i="1"/>
  <c r="G79" i="1"/>
  <c r="G80" i="1"/>
  <c r="G81" i="1"/>
  <c r="G82" i="1"/>
  <c r="G83" i="1"/>
  <c r="G84" i="1"/>
  <c r="G85" i="1"/>
  <c r="G86" i="1"/>
  <c r="G87" i="1"/>
  <c r="G76" i="1"/>
  <c r="G54" i="1"/>
  <c r="G55" i="1"/>
  <c r="G56" i="1"/>
  <c r="G57" i="1"/>
  <c r="G58" i="1"/>
  <c r="G59" i="1"/>
  <c r="G53" i="1"/>
  <c r="G216" i="4"/>
  <c r="G217" i="4"/>
  <c r="G218" i="4"/>
  <c r="G219" i="4"/>
  <c r="G220" i="4"/>
  <c r="G215" i="4"/>
  <c r="K216" i="4"/>
  <c r="K217" i="4"/>
  <c r="K218" i="4"/>
  <c r="K219" i="4"/>
  <c r="K220" i="4"/>
  <c r="K215" i="4"/>
  <c r="N193" i="4"/>
  <c r="N192" i="4"/>
  <c r="J193" i="4"/>
  <c r="J192" i="4"/>
  <c r="E228" i="4" l="1"/>
  <c r="E234" i="4"/>
  <c r="E233" i="4"/>
  <c r="E232" i="4"/>
  <c r="E231" i="4"/>
  <c r="E230" i="4"/>
  <c r="E229" i="4"/>
  <c r="I61" i="1" l="1"/>
  <c r="I1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N237" i="4"/>
  <c r="N236" i="4"/>
  <c r="L234" i="4"/>
  <c r="H234" i="4"/>
  <c r="L233" i="4"/>
  <c r="H233" i="4"/>
  <c r="L232" i="4"/>
  <c r="H232" i="4"/>
  <c r="L231" i="4"/>
  <c r="H231" i="4"/>
  <c r="L230" i="4"/>
  <c r="H230" i="4"/>
  <c r="L229" i="4"/>
  <c r="H229" i="4"/>
  <c r="L228" i="4"/>
  <c r="H228" i="4"/>
  <c r="N223" i="4"/>
  <c r="N222" i="4"/>
  <c r="L220" i="4"/>
  <c r="H220" i="4"/>
  <c r="L219" i="4"/>
  <c r="H219" i="4"/>
  <c r="L218" i="4"/>
  <c r="H218" i="4"/>
  <c r="L217" i="4"/>
  <c r="H217" i="4"/>
  <c r="L216" i="4"/>
  <c r="H216" i="4"/>
  <c r="L215" i="4"/>
  <c r="H215" i="4"/>
  <c r="L214" i="4"/>
  <c r="H214" i="4"/>
  <c r="I60" i="1" l="1"/>
  <c r="J10" i="1" s="1"/>
  <c r="N19" i="4"/>
  <c r="M228" i="4"/>
  <c r="N228" i="4" s="1"/>
  <c r="M229" i="4"/>
  <c r="N229" i="4" s="1"/>
  <c r="M230" i="4"/>
  <c r="N230" i="4" s="1"/>
  <c r="M231" i="4"/>
  <c r="N231" i="4" s="1"/>
  <c r="M232" i="4"/>
  <c r="N232" i="4" s="1"/>
  <c r="M233" i="4"/>
  <c r="N233" i="4" s="1"/>
  <c r="M234" i="4"/>
  <c r="N234" i="4" s="1"/>
  <c r="M214" i="4"/>
  <c r="N214" i="4" s="1"/>
  <c r="M215" i="4"/>
  <c r="N215" i="4" s="1"/>
  <c r="M216" i="4"/>
  <c r="N216" i="4" s="1"/>
  <c r="M217" i="4"/>
  <c r="N217" i="4" s="1"/>
  <c r="M218" i="4"/>
  <c r="N218" i="4" s="1"/>
  <c r="M219" i="4"/>
  <c r="N219" i="4" s="1"/>
  <c r="M220" i="4"/>
  <c r="N220" i="4" s="1"/>
  <c r="M106" i="6"/>
  <c r="F106" i="6"/>
  <c r="M105" i="6"/>
  <c r="F105" i="6"/>
  <c r="M104" i="6"/>
  <c r="F104" i="6"/>
  <c r="M103" i="6"/>
  <c r="F103" i="6"/>
  <c r="M102" i="6"/>
  <c r="F102" i="6"/>
  <c r="M101" i="6"/>
  <c r="F101" i="6"/>
  <c r="M100" i="6"/>
  <c r="F100" i="6"/>
  <c r="M99" i="6"/>
  <c r="F99" i="6"/>
  <c r="M98" i="6"/>
  <c r="F98" i="6"/>
  <c r="M97" i="6"/>
  <c r="F97" i="6"/>
  <c r="M96" i="6"/>
  <c r="F96" i="6"/>
  <c r="M95" i="6"/>
  <c r="F95" i="6"/>
  <c r="M94" i="6"/>
  <c r="F94" i="6"/>
  <c r="M93" i="6"/>
  <c r="F93" i="6"/>
  <c r="M92" i="6"/>
  <c r="F92" i="6"/>
  <c r="M91" i="6"/>
  <c r="F91" i="6"/>
  <c r="M90" i="6"/>
  <c r="F90" i="6"/>
  <c r="M89" i="6"/>
  <c r="F89" i="6"/>
  <c r="M88" i="6"/>
  <c r="F88" i="6"/>
  <c r="M87" i="6"/>
  <c r="F87" i="6"/>
  <c r="M86" i="6"/>
  <c r="F86" i="6"/>
  <c r="M85" i="6"/>
  <c r="F85" i="6"/>
  <c r="M84" i="6"/>
  <c r="F84" i="6"/>
  <c r="M83" i="6"/>
  <c r="F83" i="6"/>
  <c r="M82" i="6"/>
  <c r="F82" i="6"/>
  <c r="M81" i="6"/>
  <c r="F81" i="6"/>
  <c r="M80" i="6"/>
  <c r="F80" i="6"/>
  <c r="M79" i="6"/>
  <c r="F79" i="6"/>
  <c r="M78" i="6"/>
  <c r="F78" i="6"/>
  <c r="M77" i="6"/>
  <c r="F77" i="6"/>
  <c r="M76" i="6"/>
  <c r="F76" i="6"/>
  <c r="M75" i="6"/>
  <c r="F75" i="6"/>
  <c r="M74" i="6"/>
  <c r="F74" i="6"/>
  <c r="M73" i="6"/>
  <c r="F73" i="6"/>
  <c r="M72" i="6"/>
  <c r="F72" i="6"/>
  <c r="M71" i="6"/>
  <c r="F71" i="6"/>
  <c r="M70" i="6"/>
  <c r="F70" i="6"/>
  <c r="M69" i="6"/>
  <c r="F69" i="6"/>
  <c r="M68" i="6"/>
  <c r="F68" i="6"/>
  <c r="M67" i="6"/>
  <c r="F67" i="6"/>
  <c r="M66" i="6"/>
  <c r="F66" i="6"/>
  <c r="M65" i="6"/>
  <c r="F65" i="6"/>
  <c r="M64" i="6"/>
  <c r="F64" i="6"/>
  <c r="M63" i="6"/>
  <c r="F63" i="6"/>
  <c r="M62" i="6"/>
  <c r="F62" i="6"/>
  <c r="M61" i="6"/>
  <c r="F61" i="6"/>
  <c r="M60" i="6"/>
  <c r="F60" i="6"/>
  <c r="M59" i="6"/>
  <c r="F59" i="6"/>
  <c r="M58" i="6"/>
  <c r="F58" i="6"/>
  <c r="M57" i="6"/>
  <c r="F57" i="6"/>
  <c r="M56" i="6"/>
  <c r="F56" i="6"/>
  <c r="M55" i="6"/>
  <c r="F55" i="6"/>
  <c r="M54" i="6"/>
  <c r="F54" i="6"/>
  <c r="M53" i="6"/>
  <c r="F53" i="6"/>
  <c r="M52" i="6"/>
  <c r="F52" i="6"/>
  <c r="M51" i="6"/>
  <c r="F51" i="6"/>
  <c r="M50" i="6"/>
  <c r="F50" i="6"/>
  <c r="M49" i="6"/>
  <c r="F49" i="6"/>
  <c r="M48" i="6"/>
  <c r="F48" i="6"/>
  <c r="M47" i="6"/>
  <c r="O47" i="6" s="1"/>
  <c r="F47" i="6"/>
  <c r="K43" i="6"/>
  <c r="M43" i="6" s="1"/>
  <c r="K42" i="6"/>
  <c r="M42" i="6" s="1"/>
  <c r="K41" i="6"/>
  <c r="M41" i="6" s="1"/>
  <c r="K40" i="6"/>
  <c r="M40" i="6" s="1"/>
  <c r="K39" i="6"/>
  <c r="M39" i="6" s="1"/>
  <c r="K38" i="6"/>
  <c r="M38" i="6" s="1"/>
  <c r="K37" i="6"/>
  <c r="M37" i="6" s="1"/>
  <c r="K36" i="6"/>
  <c r="M36" i="6" s="1"/>
  <c r="K35" i="6"/>
  <c r="M35" i="6" s="1"/>
  <c r="O35" i="6" s="1"/>
  <c r="K31" i="6"/>
  <c r="M31" i="6" s="1"/>
  <c r="K30" i="6"/>
  <c r="M30" i="6" s="1"/>
  <c r="K29" i="6"/>
  <c r="M29" i="6" s="1"/>
  <c r="K28" i="6"/>
  <c r="M28" i="6" s="1"/>
  <c r="O28" i="6" s="1"/>
  <c r="M24" i="6"/>
  <c r="M23" i="6"/>
  <c r="M22" i="6"/>
  <c r="M21" i="6"/>
  <c r="M20" i="6"/>
  <c r="M19" i="6"/>
  <c r="M18" i="6"/>
  <c r="M17" i="6"/>
  <c r="O17" i="6" s="1"/>
  <c r="H13" i="6"/>
  <c r="K13" i="6" s="1"/>
  <c r="G13" i="6"/>
  <c r="J13" i="6" s="1"/>
  <c r="E13" i="6"/>
  <c r="N221" i="4" l="1"/>
  <c r="N235" i="4"/>
  <c r="O18" i="6"/>
  <c r="O20" i="6"/>
  <c r="O21" i="6"/>
  <c r="O22" i="6"/>
  <c r="O24" i="6"/>
  <c r="O29" i="6"/>
  <c r="O30" i="6"/>
  <c r="O31" i="6"/>
  <c r="O19" i="6"/>
  <c r="O23" i="6"/>
  <c r="O43" i="6"/>
  <c r="O42" i="6"/>
  <c r="O41" i="6"/>
  <c r="O40" i="6"/>
  <c r="O39" i="6"/>
  <c r="O38" i="6"/>
  <c r="O37" i="6"/>
  <c r="O36" i="6"/>
  <c r="O19" i="4" l="1"/>
  <c r="O51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0" i="6"/>
  <c r="O49" i="6"/>
  <c r="O48" i="6"/>
  <c r="E85" i="3" l="1"/>
  <c r="M86" i="3" l="1"/>
  <c r="I86" i="3"/>
  <c r="N168" i="4" l="1"/>
  <c r="N167" i="4"/>
  <c r="N153" i="4"/>
  <c r="N152" i="4"/>
  <c r="N128" i="4"/>
  <c r="N119" i="4"/>
  <c r="N101" i="4"/>
  <c r="N92" i="4"/>
  <c r="N67" i="4"/>
  <c r="N58" i="4"/>
  <c r="N45" i="4"/>
  <c r="N33" i="3"/>
  <c r="L163" i="2"/>
  <c r="N148" i="2"/>
  <c r="N147" i="2"/>
  <c r="N119" i="2"/>
  <c r="N118" i="2"/>
  <c r="N104" i="2"/>
  <c r="N103" i="2"/>
  <c r="N89" i="2"/>
  <c r="N88" i="2"/>
  <c r="O61" i="2"/>
  <c r="O45" i="2"/>
  <c r="J175" i="1"/>
  <c r="J155" i="1"/>
  <c r="E83" i="1" l="1"/>
  <c r="L43" i="2" l="1"/>
  <c r="L42" i="2"/>
  <c r="L41" i="2"/>
  <c r="L40" i="2"/>
  <c r="L39" i="2"/>
  <c r="L38" i="2"/>
  <c r="L37" i="2"/>
  <c r="L36" i="2"/>
  <c r="L35" i="2"/>
  <c r="L34" i="2"/>
  <c r="E126" i="1" l="1"/>
  <c r="H126" i="1"/>
  <c r="I126" i="1" s="1"/>
  <c r="J126" i="1" s="1"/>
  <c r="E102" i="1"/>
  <c r="H102" i="1"/>
  <c r="E82" i="1"/>
  <c r="F82" i="1"/>
  <c r="I102" i="1" l="1"/>
  <c r="J102" i="1" s="1"/>
  <c r="H82" i="1"/>
  <c r="I82" i="1" s="1"/>
  <c r="J82" i="1" s="1"/>
  <c r="H37" i="4" l="1"/>
  <c r="N86" i="3" l="1"/>
  <c r="N85" i="3"/>
  <c r="K85" i="3"/>
  <c r="O192" i="4"/>
  <c r="O193" i="4"/>
  <c r="O191" i="4"/>
  <c r="F191" i="4"/>
  <c r="L191" i="4" s="1"/>
  <c r="L181" i="4"/>
  <c r="K191" i="4"/>
  <c r="G85" i="3" l="1"/>
  <c r="H191" i="4"/>
  <c r="J85" i="3" l="1"/>
  <c r="O85" i="3" s="1"/>
  <c r="P191" i="4"/>
  <c r="E86" i="3"/>
  <c r="K193" i="4"/>
  <c r="K192" i="4"/>
  <c r="F193" i="4"/>
  <c r="F192" i="4"/>
  <c r="K182" i="4"/>
  <c r="G182" i="4"/>
  <c r="I182" i="4" s="1"/>
  <c r="G181" i="4"/>
  <c r="I181" i="4" s="1"/>
  <c r="H179" i="2"/>
  <c r="J179" i="2" s="1"/>
  <c r="L181" i="2"/>
  <c r="L182" i="2"/>
  <c r="L183" i="2"/>
  <c r="H180" i="2"/>
  <c r="J180" i="2" s="1"/>
  <c r="H181" i="2"/>
  <c r="J181" i="2" s="1"/>
  <c r="H182" i="2"/>
  <c r="H183" i="2"/>
  <c r="J183" i="2" s="1"/>
  <c r="J182" i="2"/>
  <c r="M184" i="4" l="1"/>
  <c r="N185" i="2"/>
  <c r="L14" i="2" s="1"/>
  <c r="N179" i="2"/>
  <c r="N182" i="2"/>
  <c r="G86" i="3"/>
  <c r="K86" i="3"/>
  <c r="O89" i="3" s="1"/>
  <c r="L13" i="3" s="1"/>
  <c r="N183" i="2"/>
  <c r="N181" i="2"/>
  <c r="H192" i="4"/>
  <c r="L192" i="4"/>
  <c r="H193" i="4"/>
  <c r="L193" i="4"/>
  <c r="M181" i="4"/>
  <c r="L182" i="4"/>
  <c r="M182" i="4" s="1"/>
  <c r="K75" i="3"/>
  <c r="L75" i="3" s="1"/>
  <c r="K76" i="3"/>
  <c r="L76" i="3" s="1"/>
  <c r="K77" i="3"/>
  <c r="L77" i="3" s="1"/>
  <c r="K74" i="3"/>
  <c r="L74" i="3" s="1"/>
  <c r="G52" i="3"/>
  <c r="G53" i="3"/>
  <c r="G54" i="3"/>
  <c r="G55" i="3"/>
  <c r="G51" i="3"/>
  <c r="K52" i="3"/>
  <c r="K53" i="3"/>
  <c r="K54" i="3"/>
  <c r="K55" i="3"/>
  <c r="K51" i="3"/>
  <c r="K31" i="3"/>
  <c r="G31" i="3"/>
  <c r="G77" i="3"/>
  <c r="I77" i="3" s="1"/>
  <c r="G76" i="3"/>
  <c r="I76" i="3" s="1"/>
  <c r="G75" i="3"/>
  <c r="I75" i="3" s="1"/>
  <c r="G74" i="3"/>
  <c r="I74" i="3" s="1"/>
  <c r="L73" i="3"/>
  <c r="G73" i="3"/>
  <c r="I73" i="3" s="1"/>
  <c r="L180" i="2"/>
  <c r="M181" i="2"/>
  <c r="M182" i="2"/>
  <c r="M183" i="2"/>
  <c r="M179" i="2"/>
  <c r="M79" i="3" l="1"/>
  <c r="J86" i="3"/>
  <c r="O86" i="3" s="1"/>
  <c r="O87" i="3" s="1"/>
  <c r="O88" i="3"/>
  <c r="L12" i="3" s="1"/>
  <c r="M75" i="3"/>
  <c r="P196" i="4"/>
  <c r="N18" i="4" s="1"/>
  <c r="P195" i="4"/>
  <c r="N17" i="4" s="1"/>
  <c r="M183" i="4"/>
  <c r="M180" i="2"/>
  <c r="N180" i="2"/>
  <c r="N184" i="2" s="1"/>
  <c r="M14" i="2" s="1"/>
  <c r="M76" i="3"/>
  <c r="P193" i="4"/>
  <c r="P192" i="4"/>
  <c r="M77" i="3"/>
  <c r="M73" i="3"/>
  <c r="M74" i="3"/>
  <c r="N15" i="4"/>
  <c r="L13" i="2"/>
  <c r="L12" i="2"/>
  <c r="L10" i="2"/>
  <c r="I155" i="2"/>
  <c r="I156" i="2"/>
  <c r="I157" i="2"/>
  <c r="I158" i="2"/>
  <c r="I159" i="2"/>
  <c r="I160" i="2"/>
  <c r="I161" i="2"/>
  <c r="I154" i="2"/>
  <c r="K139" i="2"/>
  <c r="K140" i="2"/>
  <c r="K141" i="2"/>
  <c r="K142" i="2"/>
  <c r="K143" i="2"/>
  <c r="K144" i="2"/>
  <c r="K145" i="2"/>
  <c r="K138" i="2"/>
  <c r="G139" i="2"/>
  <c r="G140" i="2"/>
  <c r="G141" i="2"/>
  <c r="G142" i="2"/>
  <c r="G143" i="2"/>
  <c r="G144" i="2"/>
  <c r="G145" i="2"/>
  <c r="G138" i="2"/>
  <c r="F52" i="2"/>
  <c r="F53" i="2"/>
  <c r="F54" i="2"/>
  <c r="F55" i="2"/>
  <c r="F56" i="2"/>
  <c r="F57" i="2"/>
  <c r="F58" i="2"/>
  <c r="F59" i="2"/>
  <c r="F51" i="2"/>
  <c r="J52" i="2"/>
  <c r="J53" i="2"/>
  <c r="J54" i="2"/>
  <c r="J55" i="2"/>
  <c r="J56" i="2"/>
  <c r="J57" i="2"/>
  <c r="J58" i="2"/>
  <c r="J59" i="2"/>
  <c r="J51" i="2"/>
  <c r="M59" i="2"/>
  <c r="M52" i="2"/>
  <c r="M53" i="2"/>
  <c r="M54" i="2"/>
  <c r="M55" i="2"/>
  <c r="M56" i="2"/>
  <c r="M57" i="2"/>
  <c r="M58" i="2"/>
  <c r="M51" i="2"/>
  <c r="K160" i="4"/>
  <c r="L160" i="4" s="1"/>
  <c r="K161" i="4"/>
  <c r="L161" i="4" s="1"/>
  <c r="K162" i="4"/>
  <c r="K163" i="4"/>
  <c r="L163" i="4" s="1"/>
  <c r="K164" i="4"/>
  <c r="L164" i="4" s="1"/>
  <c r="K165" i="4"/>
  <c r="L165" i="4" s="1"/>
  <c r="K159" i="4"/>
  <c r="L159" i="4" s="1"/>
  <c r="G160" i="4"/>
  <c r="H160" i="4" s="1"/>
  <c r="G161" i="4"/>
  <c r="H161" i="4" s="1"/>
  <c r="G162" i="4"/>
  <c r="H162" i="4" s="1"/>
  <c r="G163" i="4"/>
  <c r="H163" i="4" s="1"/>
  <c r="G164" i="4"/>
  <c r="H164" i="4" s="1"/>
  <c r="G165" i="4"/>
  <c r="H165" i="4" s="1"/>
  <c r="G159" i="4"/>
  <c r="H159" i="4" s="1"/>
  <c r="K145" i="4"/>
  <c r="L145" i="4" s="1"/>
  <c r="K146" i="4"/>
  <c r="L146" i="4" s="1"/>
  <c r="K147" i="4"/>
  <c r="L147" i="4" s="1"/>
  <c r="K148" i="4"/>
  <c r="L148" i="4" s="1"/>
  <c r="K149" i="4"/>
  <c r="L149" i="4" s="1"/>
  <c r="K150" i="4"/>
  <c r="L150" i="4" s="1"/>
  <c r="K144" i="4"/>
  <c r="L144" i="4" s="1"/>
  <c r="G145" i="4"/>
  <c r="H145" i="4" s="1"/>
  <c r="G146" i="4"/>
  <c r="H146" i="4" s="1"/>
  <c r="G147" i="4"/>
  <c r="H147" i="4" s="1"/>
  <c r="G148" i="4"/>
  <c r="H148" i="4" s="1"/>
  <c r="G149" i="4"/>
  <c r="H149" i="4" s="1"/>
  <c r="G150" i="4"/>
  <c r="H150" i="4" s="1"/>
  <c r="G144" i="4"/>
  <c r="H144" i="4" s="1"/>
  <c r="K126" i="4"/>
  <c r="L126" i="4" s="1"/>
  <c r="K125" i="4"/>
  <c r="L125" i="4" s="1"/>
  <c r="G126" i="4"/>
  <c r="H126" i="4" s="1"/>
  <c r="G125" i="4"/>
  <c r="H125" i="4" s="1"/>
  <c r="K117" i="4"/>
  <c r="L117" i="4" s="1"/>
  <c r="K116" i="4"/>
  <c r="L116" i="4" s="1"/>
  <c r="G117" i="4"/>
  <c r="G116" i="4"/>
  <c r="H116" i="4" s="1"/>
  <c r="K99" i="4"/>
  <c r="K98" i="4"/>
  <c r="G99" i="4"/>
  <c r="G98" i="4"/>
  <c r="G83" i="4"/>
  <c r="G84" i="4"/>
  <c r="G85" i="4"/>
  <c r="G86" i="4"/>
  <c r="G87" i="4"/>
  <c r="G88" i="4"/>
  <c r="G89" i="4"/>
  <c r="G90" i="4"/>
  <c r="G82" i="4"/>
  <c r="K83" i="4"/>
  <c r="K84" i="4"/>
  <c r="K85" i="4"/>
  <c r="K86" i="4"/>
  <c r="K87" i="4"/>
  <c r="K88" i="4"/>
  <c r="K89" i="4"/>
  <c r="K90" i="4"/>
  <c r="K82" i="4"/>
  <c r="K65" i="4"/>
  <c r="K64" i="4"/>
  <c r="G65" i="4"/>
  <c r="G64" i="4"/>
  <c r="G52" i="4"/>
  <c r="G53" i="4"/>
  <c r="G54" i="4"/>
  <c r="G55" i="4"/>
  <c r="G56" i="4"/>
  <c r="G51" i="4"/>
  <c r="K52" i="4"/>
  <c r="K53" i="4"/>
  <c r="K54" i="4"/>
  <c r="K55" i="4"/>
  <c r="K56" i="4"/>
  <c r="K51" i="4"/>
  <c r="K39" i="4"/>
  <c r="K40" i="4"/>
  <c r="K41" i="4"/>
  <c r="K42" i="4"/>
  <c r="K43" i="4"/>
  <c r="K38" i="4"/>
  <c r="G39" i="4"/>
  <c r="G40" i="4"/>
  <c r="G41" i="4"/>
  <c r="G42" i="4"/>
  <c r="G43" i="4"/>
  <c r="G38" i="4"/>
  <c r="L162" i="4"/>
  <c r="L158" i="4"/>
  <c r="H158" i="4"/>
  <c r="L143" i="4"/>
  <c r="H143" i="4"/>
  <c r="L124" i="4"/>
  <c r="H124" i="4"/>
  <c r="H117" i="4"/>
  <c r="L115" i="4"/>
  <c r="H115" i="4"/>
  <c r="P194" i="4" l="1"/>
  <c r="O17" i="4" s="1"/>
  <c r="M124" i="4"/>
  <c r="N124" i="4" s="1"/>
  <c r="N14" i="4"/>
  <c r="N13" i="4"/>
  <c r="L11" i="2"/>
  <c r="M158" i="4"/>
  <c r="N158" i="4" s="1"/>
  <c r="N12" i="4"/>
  <c r="N16" i="4"/>
  <c r="M163" i="4"/>
  <c r="N163" i="4" s="1"/>
  <c r="M161" i="4"/>
  <c r="N161" i="4" s="1"/>
  <c r="M165" i="4"/>
  <c r="N165" i="4" s="1"/>
  <c r="M78" i="3"/>
  <c r="M12" i="3" s="1"/>
  <c r="M160" i="4"/>
  <c r="N160" i="4" s="1"/>
  <c r="M162" i="4"/>
  <c r="N162" i="4" s="1"/>
  <c r="M164" i="4"/>
  <c r="N164" i="4" s="1"/>
  <c r="M159" i="4"/>
  <c r="N159" i="4" s="1"/>
  <c r="M126" i="4"/>
  <c r="N126" i="4" s="1"/>
  <c r="M125" i="4"/>
  <c r="N125" i="4" s="1"/>
  <c r="M143" i="4"/>
  <c r="N143" i="4" s="1"/>
  <c r="M144" i="4"/>
  <c r="N144" i="4" s="1"/>
  <c r="M145" i="4"/>
  <c r="N145" i="4" s="1"/>
  <c r="M150" i="4"/>
  <c r="N150" i="4" s="1"/>
  <c r="M148" i="4"/>
  <c r="N148" i="4" s="1"/>
  <c r="M146" i="4"/>
  <c r="N146" i="4" s="1"/>
  <c r="M149" i="4"/>
  <c r="N149" i="4" s="1"/>
  <c r="M147" i="4"/>
  <c r="N147" i="4" s="1"/>
  <c r="M115" i="4"/>
  <c r="N115" i="4" s="1"/>
  <c r="M116" i="4"/>
  <c r="N116" i="4" s="1"/>
  <c r="M117" i="4"/>
  <c r="N117" i="4" s="1"/>
  <c r="L99" i="4"/>
  <c r="H99" i="4"/>
  <c r="L98" i="4"/>
  <c r="H98" i="4"/>
  <c r="L97" i="4"/>
  <c r="H97" i="4"/>
  <c r="L84" i="4"/>
  <c r="L85" i="4"/>
  <c r="L86" i="4"/>
  <c r="L87" i="4"/>
  <c r="L88" i="4"/>
  <c r="L89" i="4"/>
  <c r="L90" i="4"/>
  <c r="H84" i="4"/>
  <c r="H85" i="4"/>
  <c r="H86" i="4"/>
  <c r="H87" i="4"/>
  <c r="H88" i="4"/>
  <c r="H89" i="4"/>
  <c r="H90" i="4"/>
  <c r="L83" i="4"/>
  <c r="H83" i="4"/>
  <c r="L82" i="4"/>
  <c r="H82" i="4"/>
  <c r="L81" i="4"/>
  <c r="H81" i="4"/>
  <c r="L65" i="4"/>
  <c r="H65" i="4"/>
  <c r="L64" i="4"/>
  <c r="H64" i="4"/>
  <c r="L63" i="4"/>
  <c r="H63" i="4"/>
  <c r="L56" i="4"/>
  <c r="H56" i="4"/>
  <c r="L55" i="4"/>
  <c r="H55" i="4"/>
  <c r="L54" i="4"/>
  <c r="H54" i="4"/>
  <c r="L53" i="4"/>
  <c r="H53" i="4"/>
  <c r="L52" i="4"/>
  <c r="H52" i="4"/>
  <c r="L51" i="4"/>
  <c r="H51" i="4"/>
  <c r="L50" i="4"/>
  <c r="H50" i="4"/>
  <c r="L38" i="4"/>
  <c r="L39" i="4"/>
  <c r="L40" i="4"/>
  <c r="L41" i="4"/>
  <c r="L42" i="4"/>
  <c r="L43" i="4"/>
  <c r="L37" i="4"/>
  <c r="H38" i="4"/>
  <c r="H39" i="4"/>
  <c r="H40" i="4"/>
  <c r="H41" i="4"/>
  <c r="H42" i="4"/>
  <c r="H43" i="4"/>
  <c r="N127" i="4" l="1"/>
  <c r="N166" i="4"/>
  <c r="M37" i="4"/>
  <c r="N37" i="4" s="1"/>
  <c r="M42" i="4"/>
  <c r="N42" i="4" s="1"/>
  <c r="M40" i="4"/>
  <c r="N40" i="4" s="1"/>
  <c r="M38" i="4"/>
  <c r="N38" i="4" s="1"/>
  <c r="M90" i="4"/>
  <c r="N90" i="4" s="1"/>
  <c r="M88" i="4"/>
  <c r="N88" i="4" s="1"/>
  <c r="M86" i="4"/>
  <c r="N86" i="4" s="1"/>
  <c r="M84" i="4"/>
  <c r="N84" i="4" s="1"/>
  <c r="M43" i="4"/>
  <c r="N43" i="4" s="1"/>
  <c r="M41" i="4"/>
  <c r="N41" i="4" s="1"/>
  <c r="M39" i="4"/>
  <c r="N39" i="4" s="1"/>
  <c r="M89" i="4"/>
  <c r="N89" i="4" s="1"/>
  <c r="M87" i="4"/>
  <c r="N87" i="4" s="1"/>
  <c r="M85" i="4"/>
  <c r="N85" i="4" s="1"/>
  <c r="N118" i="4"/>
  <c r="N151" i="4"/>
  <c r="M63" i="4"/>
  <c r="N63" i="4" s="1"/>
  <c r="M64" i="4"/>
  <c r="N64" i="4" s="1"/>
  <c r="M65" i="4"/>
  <c r="N65" i="4" s="1"/>
  <c r="M97" i="4"/>
  <c r="N97" i="4" s="1"/>
  <c r="M98" i="4"/>
  <c r="N98" i="4" s="1"/>
  <c r="M99" i="4"/>
  <c r="N99" i="4" s="1"/>
  <c r="M81" i="4"/>
  <c r="N81" i="4" s="1"/>
  <c r="M82" i="4"/>
  <c r="N82" i="4" s="1"/>
  <c r="M83" i="4"/>
  <c r="N83" i="4" s="1"/>
  <c r="M50" i="4"/>
  <c r="N50" i="4" s="1"/>
  <c r="M51" i="4"/>
  <c r="N51" i="4" s="1"/>
  <c r="M52" i="4"/>
  <c r="N52" i="4" s="1"/>
  <c r="M53" i="4"/>
  <c r="N53" i="4" s="1"/>
  <c r="M54" i="4"/>
  <c r="N54" i="4" s="1"/>
  <c r="M55" i="4"/>
  <c r="N55" i="4" s="1"/>
  <c r="M56" i="4"/>
  <c r="N56" i="4" s="1"/>
  <c r="O14" i="4" l="1"/>
  <c r="O15" i="4"/>
  <c r="N44" i="4"/>
  <c r="N57" i="4"/>
  <c r="N100" i="4"/>
  <c r="N91" i="4"/>
  <c r="N66" i="4"/>
  <c r="H173" i="1"/>
  <c r="I173" i="1" s="1"/>
  <c r="J173" i="1" s="1"/>
  <c r="H172" i="1"/>
  <c r="I172" i="1" s="1"/>
  <c r="J172" i="1" s="1"/>
  <c r="H171" i="1"/>
  <c r="I171" i="1" s="1"/>
  <c r="J171" i="1" s="1"/>
  <c r="H170" i="1"/>
  <c r="I170" i="1" s="1"/>
  <c r="J170" i="1" s="1"/>
  <c r="H169" i="1"/>
  <c r="I169" i="1" s="1"/>
  <c r="J169" i="1" s="1"/>
  <c r="H168" i="1"/>
  <c r="I168" i="1" s="1"/>
  <c r="J168" i="1" s="1"/>
  <c r="H167" i="1"/>
  <c r="I167" i="1" s="1"/>
  <c r="J167" i="1" s="1"/>
  <c r="H166" i="1"/>
  <c r="I166" i="1" s="1"/>
  <c r="J166" i="1" s="1"/>
  <c r="H165" i="1"/>
  <c r="I165" i="1" s="1"/>
  <c r="J165" i="1" s="1"/>
  <c r="H164" i="1"/>
  <c r="I164" i="1" s="1"/>
  <c r="J164" i="1" s="1"/>
  <c r="H163" i="1"/>
  <c r="I163" i="1" s="1"/>
  <c r="J163" i="1" s="1"/>
  <c r="H162" i="1"/>
  <c r="I162" i="1" s="1"/>
  <c r="J162" i="1" s="1"/>
  <c r="H161" i="1"/>
  <c r="I161" i="1" s="1"/>
  <c r="J161" i="1" s="1"/>
  <c r="H160" i="1"/>
  <c r="I160" i="1" s="1"/>
  <c r="J160" i="1" s="1"/>
  <c r="H141" i="1"/>
  <c r="I141" i="1" s="1"/>
  <c r="J141" i="1" s="1"/>
  <c r="H142" i="1"/>
  <c r="I142" i="1" s="1"/>
  <c r="J142" i="1" s="1"/>
  <c r="H143" i="1"/>
  <c r="I143" i="1" s="1"/>
  <c r="J143" i="1" s="1"/>
  <c r="H144" i="1"/>
  <c r="I144" i="1" s="1"/>
  <c r="J144" i="1" s="1"/>
  <c r="H145" i="1"/>
  <c r="I145" i="1" s="1"/>
  <c r="J145" i="1" s="1"/>
  <c r="H146" i="1"/>
  <c r="I146" i="1" s="1"/>
  <c r="J146" i="1" s="1"/>
  <c r="H147" i="1"/>
  <c r="I147" i="1" s="1"/>
  <c r="J147" i="1" s="1"/>
  <c r="H148" i="1"/>
  <c r="I148" i="1" s="1"/>
  <c r="J148" i="1" s="1"/>
  <c r="H149" i="1"/>
  <c r="I149" i="1" s="1"/>
  <c r="J149" i="1" s="1"/>
  <c r="H150" i="1"/>
  <c r="I150" i="1" s="1"/>
  <c r="J150" i="1" s="1"/>
  <c r="H151" i="1"/>
  <c r="I151" i="1" s="1"/>
  <c r="J151" i="1" s="1"/>
  <c r="H152" i="1"/>
  <c r="I152" i="1" s="1"/>
  <c r="J152" i="1" s="1"/>
  <c r="H153" i="1"/>
  <c r="I153" i="1" s="1"/>
  <c r="J153" i="1" s="1"/>
  <c r="H140" i="1"/>
  <c r="I140" i="1" s="1"/>
  <c r="J140" i="1" s="1"/>
  <c r="O13" i="4" l="1"/>
  <c r="O12" i="4"/>
  <c r="J154" i="1"/>
  <c r="J174" i="1"/>
  <c r="E24" i="3"/>
  <c r="E51" i="3"/>
  <c r="H51" i="3" s="1"/>
  <c r="E52" i="3"/>
  <c r="H52" i="3" s="1"/>
  <c r="E53" i="3"/>
  <c r="H53" i="3" s="1"/>
  <c r="E54" i="3"/>
  <c r="H54" i="3" s="1"/>
  <c r="E55" i="3"/>
  <c r="H55" i="3" s="1"/>
  <c r="E50" i="3"/>
  <c r="L9" i="3"/>
  <c r="I51" i="3"/>
  <c r="L51" i="3" s="1"/>
  <c r="I52" i="3"/>
  <c r="L52" i="3" s="1"/>
  <c r="I53" i="3"/>
  <c r="L53" i="3" s="1"/>
  <c r="I54" i="3"/>
  <c r="L54" i="3" s="1"/>
  <c r="I55" i="3"/>
  <c r="L55" i="3" s="1"/>
  <c r="I50" i="3"/>
  <c r="D29" i="2"/>
  <c r="L31" i="3"/>
  <c r="L30" i="3"/>
  <c r="H31" i="3"/>
  <c r="H30" i="3"/>
  <c r="O20" i="4" l="1"/>
  <c r="N57" i="3"/>
  <c r="L10" i="3" s="1"/>
  <c r="N58" i="3"/>
  <c r="L11" i="3" s="1"/>
  <c r="H50" i="3"/>
  <c r="L50" i="3"/>
  <c r="M30" i="3"/>
  <c r="N30" i="3" s="1"/>
  <c r="M31" i="3"/>
  <c r="N31" i="3" s="1"/>
  <c r="M55" i="3"/>
  <c r="N55" i="3" s="1"/>
  <c r="M53" i="3"/>
  <c r="N53" i="3" s="1"/>
  <c r="M51" i="3"/>
  <c r="N51" i="3" s="1"/>
  <c r="M54" i="3"/>
  <c r="N54" i="3" s="1"/>
  <c r="M52" i="3"/>
  <c r="N52" i="3" s="1"/>
  <c r="E44" i="3"/>
  <c r="H30" i="1"/>
  <c r="J161" i="2"/>
  <c r="K161" i="2" s="1"/>
  <c r="L161" i="2" s="1"/>
  <c r="J160" i="2"/>
  <c r="K160" i="2" s="1"/>
  <c r="L160" i="2" s="1"/>
  <c r="J159" i="2"/>
  <c r="K159" i="2" s="1"/>
  <c r="L159" i="2" s="1"/>
  <c r="J158" i="2"/>
  <c r="K158" i="2" s="1"/>
  <c r="L158" i="2" s="1"/>
  <c r="J157" i="2"/>
  <c r="K157" i="2" s="1"/>
  <c r="L157" i="2" s="1"/>
  <c r="J156" i="2"/>
  <c r="K156" i="2" s="1"/>
  <c r="L156" i="2" s="1"/>
  <c r="J155" i="2"/>
  <c r="K155" i="2" s="1"/>
  <c r="L155" i="2" s="1"/>
  <c r="J154" i="2"/>
  <c r="K154" i="2" s="1"/>
  <c r="L154" i="2" s="1"/>
  <c r="J153" i="2"/>
  <c r="K153" i="2" s="1"/>
  <c r="L153" i="2" s="1"/>
  <c r="L138" i="2"/>
  <c r="M138" i="2" s="1"/>
  <c r="N138" i="2" s="1"/>
  <c r="L139" i="2"/>
  <c r="M139" i="2" s="1"/>
  <c r="N139" i="2" s="1"/>
  <c r="L140" i="2"/>
  <c r="M140" i="2" s="1"/>
  <c r="N140" i="2" s="1"/>
  <c r="L141" i="2"/>
  <c r="M141" i="2" s="1"/>
  <c r="N141" i="2" s="1"/>
  <c r="L142" i="2"/>
  <c r="M142" i="2" s="1"/>
  <c r="N142" i="2" s="1"/>
  <c r="L143" i="2"/>
  <c r="M143" i="2" s="1"/>
  <c r="N143" i="2" s="1"/>
  <c r="L144" i="2"/>
  <c r="M144" i="2" s="1"/>
  <c r="N144" i="2" s="1"/>
  <c r="L145" i="2"/>
  <c r="M145" i="2" s="1"/>
  <c r="N145" i="2" s="1"/>
  <c r="L137" i="2"/>
  <c r="M137" i="2" s="1"/>
  <c r="N137" i="2" s="1"/>
  <c r="H138" i="2"/>
  <c r="H139" i="2"/>
  <c r="H140" i="2"/>
  <c r="H141" i="2"/>
  <c r="H142" i="2"/>
  <c r="H143" i="2"/>
  <c r="H144" i="2"/>
  <c r="H145" i="2"/>
  <c r="H137" i="2"/>
  <c r="E132" i="2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0" i="2"/>
  <c r="H110" i="2" s="1"/>
  <c r="K111" i="2"/>
  <c r="L111" i="2" s="1"/>
  <c r="K112" i="2"/>
  <c r="L112" i="2" s="1"/>
  <c r="K113" i="2"/>
  <c r="L113" i="2" s="1"/>
  <c r="K114" i="2"/>
  <c r="L114" i="2" s="1"/>
  <c r="K115" i="2"/>
  <c r="L115" i="2" s="1"/>
  <c r="K116" i="2"/>
  <c r="L116" i="2" s="1"/>
  <c r="K110" i="2"/>
  <c r="L110" i="2" s="1"/>
  <c r="L109" i="2"/>
  <c r="H109" i="2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95" i="2"/>
  <c r="H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95" i="2"/>
  <c r="L95" i="2" s="1"/>
  <c r="L94" i="2"/>
  <c r="H94" i="2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0" i="2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0" i="2"/>
  <c r="H80" i="2" s="1"/>
  <c r="L80" i="2"/>
  <c r="L79" i="2"/>
  <c r="J36" i="2"/>
  <c r="J37" i="2"/>
  <c r="J38" i="2"/>
  <c r="J39" i="2"/>
  <c r="J40" i="2"/>
  <c r="J41" i="2"/>
  <c r="J42" i="2"/>
  <c r="J43" i="2"/>
  <c r="H79" i="2"/>
  <c r="E74" i="2"/>
  <c r="K51" i="2"/>
  <c r="K52" i="2"/>
  <c r="K53" i="2"/>
  <c r="K54" i="2"/>
  <c r="K55" i="2"/>
  <c r="K56" i="2"/>
  <c r="K57" i="2"/>
  <c r="K58" i="2"/>
  <c r="K59" i="2"/>
  <c r="K50" i="2"/>
  <c r="G51" i="2"/>
  <c r="G52" i="2"/>
  <c r="G53" i="2"/>
  <c r="G54" i="2"/>
  <c r="N54" i="2" s="1"/>
  <c r="O54" i="2" s="1"/>
  <c r="G55" i="2"/>
  <c r="G56" i="2"/>
  <c r="G57" i="2"/>
  <c r="G58" i="2"/>
  <c r="G59" i="2"/>
  <c r="G50" i="2"/>
  <c r="M36" i="2"/>
  <c r="M37" i="2"/>
  <c r="M38" i="2"/>
  <c r="M39" i="2"/>
  <c r="M40" i="2"/>
  <c r="M41" i="2"/>
  <c r="M42" i="2"/>
  <c r="M43" i="2"/>
  <c r="M35" i="2"/>
  <c r="J35" i="2"/>
  <c r="F36" i="2"/>
  <c r="F37" i="2"/>
  <c r="F38" i="2"/>
  <c r="F39" i="2"/>
  <c r="F40" i="2"/>
  <c r="F41" i="2"/>
  <c r="F42" i="2"/>
  <c r="F43" i="2"/>
  <c r="F35" i="2"/>
  <c r="N55" i="2" l="1"/>
  <c r="O55" i="2" s="1"/>
  <c r="M50" i="3"/>
  <c r="N50" i="3" s="1"/>
  <c r="N56" i="3" s="1"/>
  <c r="M10" i="3" s="1"/>
  <c r="N59" i="2"/>
  <c r="O59" i="2" s="1"/>
  <c r="N58" i="2"/>
  <c r="O58" i="2" s="1"/>
  <c r="N57" i="2"/>
  <c r="O57" i="2" s="1"/>
  <c r="N56" i="2"/>
  <c r="O56" i="2" s="1"/>
  <c r="N53" i="2"/>
  <c r="O53" i="2" s="1"/>
  <c r="N52" i="2"/>
  <c r="O52" i="2" s="1"/>
  <c r="N51" i="2"/>
  <c r="O51" i="2" s="1"/>
  <c r="N50" i="2"/>
  <c r="O50" i="2" s="1"/>
  <c r="L162" i="2"/>
  <c r="N32" i="3"/>
  <c r="M9" i="3" s="1"/>
  <c r="M86" i="2"/>
  <c r="N86" i="2" s="1"/>
  <c r="M82" i="2"/>
  <c r="N82" i="2" s="1"/>
  <c r="L9" i="2"/>
  <c r="N146" i="2"/>
  <c r="M94" i="2"/>
  <c r="N94" i="2" s="1"/>
  <c r="M79" i="2"/>
  <c r="N79" i="2" s="1"/>
  <c r="M109" i="2"/>
  <c r="N109" i="2" s="1"/>
  <c r="M110" i="2"/>
  <c r="N110" i="2" s="1"/>
  <c r="M111" i="2"/>
  <c r="N111" i="2" s="1"/>
  <c r="M112" i="2"/>
  <c r="N112" i="2" s="1"/>
  <c r="M113" i="2"/>
  <c r="N113" i="2" s="1"/>
  <c r="M114" i="2"/>
  <c r="N114" i="2" s="1"/>
  <c r="M115" i="2"/>
  <c r="N115" i="2" s="1"/>
  <c r="M116" i="2"/>
  <c r="N116" i="2" s="1"/>
  <c r="M99" i="2"/>
  <c r="N99" i="2" s="1"/>
  <c r="M100" i="2"/>
  <c r="N100" i="2" s="1"/>
  <c r="M98" i="2"/>
  <c r="N98" i="2" s="1"/>
  <c r="M96" i="2"/>
  <c r="N96" i="2" s="1"/>
  <c r="M101" i="2"/>
  <c r="N101" i="2" s="1"/>
  <c r="M97" i="2"/>
  <c r="N97" i="2" s="1"/>
  <c r="M95" i="2"/>
  <c r="N95" i="2" s="1"/>
  <c r="M80" i="2"/>
  <c r="N80" i="2" s="1"/>
  <c r="M84" i="2"/>
  <c r="N84" i="2" s="1"/>
  <c r="M85" i="2"/>
  <c r="N85" i="2" s="1"/>
  <c r="M83" i="2"/>
  <c r="N83" i="2" s="1"/>
  <c r="M81" i="2"/>
  <c r="N81" i="2" s="1"/>
  <c r="K35" i="2"/>
  <c r="K36" i="2"/>
  <c r="K37" i="2"/>
  <c r="K38" i="2"/>
  <c r="K39" i="2"/>
  <c r="K40" i="2"/>
  <c r="K41" i="2"/>
  <c r="K42" i="2"/>
  <c r="K43" i="2"/>
  <c r="K34" i="2"/>
  <c r="G35" i="2"/>
  <c r="G36" i="2"/>
  <c r="G37" i="2"/>
  <c r="G38" i="2"/>
  <c r="N38" i="2" s="1"/>
  <c r="O38" i="2" s="1"/>
  <c r="G39" i="2"/>
  <c r="G40" i="2"/>
  <c r="G41" i="2"/>
  <c r="N41" i="2" s="1"/>
  <c r="O41" i="2" s="1"/>
  <c r="G42" i="2"/>
  <c r="N42" i="2" s="1"/>
  <c r="O42" i="2" s="1"/>
  <c r="G43" i="2"/>
  <c r="G34" i="2"/>
  <c r="N36" i="2" l="1"/>
  <c r="O36" i="2" s="1"/>
  <c r="N35" i="2"/>
  <c r="O35" i="2" s="1"/>
  <c r="N40" i="2"/>
  <c r="O40" i="2" s="1"/>
  <c r="N34" i="2"/>
  <c r="O34" i="2" s="1"/>
  <c r="O60" i="2"/>
  <c r="N43" i="2"/>
  <c r="O43" i="2" s="1"/>
  <c r="N39" i="2"/>
  <c r="O39" i="2" s="1"/>
  <c r="N37" i="2"/>
  <c r="O37" i="2" s="1"/>
  <c r="M12" i="2"/>
  <c r="M14" i="3"/>
  <c r="N102" i="2"/>
  <c r="N87" i="2"/>
  <c r="N117" i="2"/>
  <c r="G211" i="1"/>
  <c r="H211" i="1" s="1"/>
  <c r="I211" i="1" s="1"/>
  <c r="G212" i="1"/>
  <c r="H212" i="1" s="1"/>
  <c r="I212" i="1" s="1"/>
  <c r="G213" i="1"/>
  <c r="H213" i="1" s="1"/>
  <c r="I213" i="1" s="1"/>
  <c r="G214" i="1"/>
  <c r="H214" i="1" s="1"/>
  <c r="I214" i="1" s="1"/>
  <c r="G215" i="1"/>
  <c r="H215" i="1" s="1"/>
  <c r="I215" i="1" s="1"/>
  <c r="G216" i="1"/>
  <c r="H216" i="1" s="1"/>
  <c r="I216" i="1" s="1"/>
  <c r="G217" i="1"/>
  <c r="H217" i="1" s="1"/>
  <c r="I217" i="1" s="1"/>
  <c r="G218" i="1"/>
  <c r="H218" i="1" s="1"/>
  <c r="I218" i="1" s="1"/>
  <c r="G219" i="1"/>
  <c r="H219" i="1" s="1"/>
  <c r="I219" i="1" s="1"/>
  <c r="G220" i="1"/>
  <c r="H220" i="1" s="1"/>
  <c r="I220" i="1" s="1"/>
  <c r="G221" i="1"/>
  <c r="H221" i="1" s="1"/>
  <c r="I221" i="1" s="1"/>
  <c r="G210" i="1"/>
  <c r="H210" i="1" s="1"/>
  <c r="I210" i="1" s="1"/>
  <c r="I223" i="1"/>
  <c r="H209" i="1"/>
  <c r="I209" i="1" s="1"/>
  <c r="I203" i="1"/>
  <c r="G191" i="1"/>
  <c r="H191" i="1" s="1"/>
  <c r="I191" i="1" s="1"/>
  <c r="G192" i="1"/>
  <c r="G193" i="1"/>
  <c r="G194" i="1"/>
  <c r="H194" i="1" s="1"/>
  <c r="I194" i="1" s="1"/>
  <c r="G195" i="1"/>
  <c r="H195" i="1" s="1"/>
  <c r="I195" i="1" s="1"/>
  <c r="G196" i="1"/>
  <c r="H196" i="1" s="1"/>
  <c r="I196" i="1" s="1"/>
  <c r="G197" i="1"/>
  <c r="H197" i="1" s="1"/>
  <c r="I197" i="1" s="1"/>
  <c r="G198" i="1"/>
  <c r="H198" i="1" s="1"/>
  <c r="I198" i="1" s="1"/>
  <c r="G199" i="1"/>
  <c r="H199" i="1" s="1"/>
  <c r="I199" i="1" s="1"/>
  <c r="G200" i="1"/>
  <c r="H200" i="1" s="1"/>
  <c r="I200" i="1" s="1"/>
  <c r="G201" i="1"/>
  <c r="H201" i="1" s="1"/>
  <c r="I201" i="1" s="1"/>
  <c r="G190" i="1"/>
  <c r="H190" i="1" s="1"/>
  <c r="I190" i="1" s="1"/>
  <c r="H193" i="1"/>
  <c r="I193" i="1" s="1"/>
  <c r="H192" i="1"/>
  <c r="I192" i="1" s="1"/>
  <c r="H189" i="1"/>
  <c r="I189" i="1" s="1"/>
  <c r="O44" i="2" l="1"/>
  <c r="M9" i="2" s="1"/>
  <c r="M10" i="2"/>
  <c r="I13" i="1"/>
  <c r="I202" i="1"/>
  <c r="I222" i="1"/>
  <c r="H133" i="1"/>
  <c r="E133" i="1"/>
  <c r="H132" i="1"/>
  <c r="E132" i="1"/>
  <c r="H131" i="1"/>
  <c r="E131" i="1"/>
  <c r="H130" i="1"/>
  <c r="E130" i="1"/>
  <c r="H129" i="1"/>
  <c r="E129" i="1"/>
  <c r="H128" i="1"/>
  <c r="E128" i="1"/>
  <c r="H127" i="1"/>
  <c r="E127" i="1"/>
  <c r="H125" i="1"/>
  <c r="E125" i="1"/>
  <c r="H124" i="1"/>
  <c r="E124" i="1"/>
  <c r="H123" i="1"/>
  <c r="E123" i="1"/>
  <c r="H122" i="1"/>
  <c r="E122" i="1"/>
  <c r="H121" i="1"/>
  <c r="E121" i="1"/>
  <c r="H120" i="1"/>
  <c r="E120" i="1"/>
  <c r="H119" i="1"/>
  <c r="E119" i="1"/>
  <c r="H109" i="1"/>
  <c r="H110" i="1"/>
  <c r="H111" i="1"/>
  <c r="H97" i="1"/>
  <c r="H98" i="1"/>
  <c r="H99" i="1"/>
  <c r="H100" i="1"/>
  <c r="H101" i="1"/>
  <c r="H103" i="1"/>
  <c r="H104" i="1"/>
  <c r="H105" i="1"/>
  <c r="H106" i="1"/>
  <c r="H107" i="1"/>
  <c r="H108" i="1"/>
  <c r="E109" i="1"/>
  <c r="E110" i="1"/>
  <c r="E111" i="1"/>
  <c r="E96" i="1"/>
  <c r="E97" i="1"/>
  <c r="E98" i="1"/>
  <c r="E99" i="1"/>
  <c r="E100" i="1"/>
  <c r="E101" i="1"/>
  <c r="E103" i="1"/>
  <c r="E104" i="1"/>
  <c r="E105" i="1"/>
  <c r="E106" i="1"/>
  <c r="E107" i="1"/>
  <c r="E108" i="1"/>
  <c r="H96" i="1"/>
  <c r="I96" i="1" s="1"/>
  <c r="J96" i="1" s="1"/>
  <c r="H95" i="1"/>
  <c r="E95" i="1"/>
  <c r="H75" i="1"/>
  <c r="F77" i="1"/>
  <c r="F78" i="1"/>
  <c r="F79" i="1"/>
  <c r="F80" i="1"/>
  <c r="F81" i="1"/>
  <c r="F83" i="1"/>
  <c r="F84" i="1"/>
  <c r="F85" i="1"/>
  <c r="F86" i="1"/>
  <c r="F87" i="1"/>
  <c r="F76" i="1"/>
  <c r="E76" i="1"/>
  <c r="E77" i="1"/>
  <c r="E78" i="1"/>
  <c r="E79" i="1"/>
  <c r="E80" i="1"/>
  <c r="E81" i="1"/>
  <c r="E84" i="1"/>
  <c r="E85" i="1"/>
  <c r="E86" i="1"/>
  <c r="E87" i="1"/>
  <c r="E75" i="1"/>
  <c r="I39" i="1"/>
  <c r="I9" i="1" s="1"/>
  <c r="J113" i="1" l="1"/>
  <c r="J89" i="1"/>
  <c r="J135" i="1"/>
  <c r="I128" i="1"/>
  <c r="J128" i="1" s="1"/>
  <c r="M15" i="2"/>
  <c r="J13" i="1"/>
  <c r="I110" i="1"/>
  <c r="J110" i="1" s="1"/>
  <c r="I107" i="1"/>
  <c r="J107" i="1" s="1"/>
  <c r="I105" i="1"/>
  <c r="J105" i="1" s="1"/>
  <c r="I103" i="1"/>
  <c r="J103" i="1" s="1"/>
  <c r="I100" i="1"/>
  <c r="J100" i="1" s="1"/>
  <c r="I98" i="1"/>
  <c r="J98" i="1" s="1"/>
  <c r="I109" i="1"/>
  <c r="J109" i="1" s="1"/>
  <c r="I108" i="1"/>
  <c r="J108" i="1" s="1"/>
  <c r="I106" i="1"/>
  <c r="J106" i="1" s="1"/>
  <c r="I104" i="1"/>
  <c r="J104" i="1" s="1"/>
  <c r="I101" i="1"/>
  <c r="J101" i="1" s="1"/>
  <c r="I99" i="1"/>
  <c r="J99" i="1" s="1"/>
  <c r="I97" i="1"/>
  <c r="J97" i="1" s="1"/>
  <c r="I111" i="1"/>
  <c r="J111" i="1" s="1"/>
  <c r="I123" i="1"/>
  <c r="J123" i="1" s="1"/>
  <c r="I132" i="1"/>
  <c r="J132" i="1" s="1"/>
  <c r="I122" i="1"/>
  <c r="J122" i="1" s="1"/>
  <c r="I127" i="1"/>
  <c r="J127" i="1" s="1"/>
  <c r="I131" i="1"/>
  <c r="J131" i="1" s="1"/>
  <c r="I120" i="1"/>
  <c r="J120" i="1" s="1"/>
  <c r="I121" i="1"/>
  <c r="J121" i="1" s="1"/>
  <c r="I124" i="1"/>
  <c r="J124" i="1" s="1"/>
  <c r="I125" i="1"/>
  <c r="J125" i="1" s="1"/>
  <c r="I129" i="1"/>
  <c r="J129" i="1" s="1"/>
  <c r="I130" i="1"/>
  <c r="J130" i="1" s="1"/>
  <c r="I133" i="1"/>
  <c r="J133" i="1" s="1"/>
  <c r="I119" i="1"/>
  <c r="J119" i="1" s="1"/>
  <c r="I95" i="1"/>
  <c r="J95" i="1" s="1"/>
  <c r="I12" i="1"/>
  <c r="H76" i="1"/>
  <c r="I76" i="1" s="1"/>
  <c r="J76" i="1" s="1"/>
  <c r="H87" i="1"/>
  <c r="I87" i="1" s="1"/>
  <c r="J87" i="1" s="1"/>
  <c r="H85" i="1"/>
  <c r="I85" i="1" s="1"/>
  <c r="J85" i="1" s="1"/>
  <c r="H83" i="1"/>
  <c r="I83" i="1" s="1"/>
  <c r="J83" i="1" s="1"/>
  <c r="H80" i="1"/>
  <c r="I80" i="1" s="1"/>
  <c r="J80" i="1" s="1"/>
  <c r="H78" i="1"/>
  <c r="I78" i="1" s="1"/>
  <c r="J78" i="1" s="1"/>
  <c r="I75" i="1"/>
  <c r="J75" i="1" s="1"/>
  <c r="H86" i="1"/>
  <c r="I86" i="1" s="1"/>
  <c r="J86" i="1" s="1"/>
  <c r="H84" i="1"/>
  <c r="I84" i="1" s="1"/>
  <c r="J84" i="1" s="1"/>
  <c r="H81" i="1"/>
  <c r="I81" i="1" s="1"/>
  <c r="J81" i="1" s="1"/>
  <c r="H79" i="1"/>
  <c r="I79" i="1" s="1"/>
  <c r="J79" i="1" s="1"/>
  <c r="H77" i="1"/>
  <c r="I77" i="1" s="1"/>
  <c r="J77" i="1" s="1"/>
  <c r="G32" i="1"/>
  <c r="G33" i="1"/>
  <c r="H33" i="1" s="1"/>
  <c r="I33" i="1" s="1"/>
  <c r="G34" i="1"/>
  <c r="G35" i="1"/>
  <c r="G36" i="1"/>
  <c r="G37" i="1"/>
  <c r="G31" i="1"/>
  <c r="I30" i="1"/>
  <c r="H36" i="1" l="1"/>
  <c r="I36" i="1" s="1"/>
  <c r="H34" i="1"/>
  <c r="I34" i="1" s="1"/>
  <c r="H37" i="1"/>
  <c r="I37" i="1" s="1"/>
  <c r="H35" i="1"/>
  <c r="I35" i="1" s="1"/>
  <c r="H31" i="1"/>
  <c r="I31" i="1" s="1"/>
  <c r="H32" i="1"/>
  <c r="I32" i="1" s="1"/>
  <c r="I11" i="1"/>
  <c r="J112" i="1"/>
  <c r="J134" i="1"/>
  <c r="J88" i="1"/>
  <c r="J12" i="1" s="1"/>
  <c r="I38" i="1" l="1"/>
  <c r="J9" i="1" s="1"/>
  <c r="J11" i="1"/>
  <c r="J14" i="1" l="1"/>
</calcChain>
</file>

<file path=xl/sharedStrings.xml><?xml version="1.0" encoding="utf-8"?>
<sst xmlns="http://schemas.openxmlformats.org/spreadsheetml/2006/main" count="1154" uniqueCount="281">
  <si>
    <t>DN</t>
  </si>
  <si>
    <t>Z</t>
  </si>
  <si>
    <t>CS</t>
  </si>
  <si>
    <t>R</t>
  </si>
  <si>
    <t>CF</t>
  </si>
  <si>
    <t>ILOŚĆ</t>
  </si>
  <si>
    <t>ALFA UNIWRAP</t>
  </si>
  <si>
    <t>KOSZT MATERIAŁOWY PRZEJŚĆ</t>
  </si>
  <si>
    <t>RURY PALNE (PVC, HDPE, PP), ŚCIANA/STROP do EI 240</t>
  </si>
  <si>
    <t>SYSTEM: ALFA UNIWRAP opaski</t>
  </si>
  <si>
    <t>R - RABAT</t>
  </si>
  <si>
    <t>CF - CENA JEDNOSTKOWA PO RABACIE</t>
  </si>
  <si>
    <t>SUMA</t>
  </si>
  <si>
    <t>ILOŚĆ OPASEK</t>
  </si>
  <si>
    <t>ALFA UNIWRAP opaski</t>
  </si>
  <si>
    <t>ALFA UNIWRAP taśma</t>
  </si>
  <si>
    <t>ALFA UNIWRAP 75mm</t>
  </si>
  <si>
    <t>ALFA UNIWRAP 50mm</t>
  </si>
  <si>
    <t>RURY PALNE (PVC, PP)  do EI 240</t>
  </si>
  <si>
    <t>Średnica zew. rury</t>
  </si>
  <si>
    <t>SYSTEM: ALFA UNIWRAP taśma</t>
  </si>
  <si>
    <t>O</t>
  </si>
  <si>
    <t>CS - CENA WYJŚCIOWA ZA OPAKOWANIE</t>
  </si>
  <si>
    <t>Z - ZUŻYCIE ILOŚĆ Z ROLKI 25m (w mm)</t>
  </si>
  <si>
    <t>CF - CENA JEDNOSTKOWA ZA ROLKĘ PO RABACIE</t>
  </si>
  <si>
    <t>KOSZT JEDNOSTKOWY PRZEJŚCIA</t>
  </si>
  <si>
    <t>KOSZT CAŁKOWITY PRZEJŚĆ</t>
  </si>
  <si>
    <t>ILOŚĆ TAŚMY 50mm</t>
  </si>
  <si>
    <t>O - ILOŚĆ OWINIĘĆ</t>
  </si>
  <si>
    <t>RURY PALNE (PVC)  do EI 180</t>
  </si>
  <si>
    <t>RURY PALNE (PE)  do EI 180</t>
  </si>
  <si>
    <t>ILOŚĆ TAŚMY 75mm</t>
  </si>
  <si>
    <t>Z - ZUŻYCIE KOŁNIERZA</t>
  </si>
  <si>
    <t>CS - CENA JEDNOSTKOWA</t>
  </si>
  <si>
    <t xml:space="preserve">SYSTEM: ALFA COLLAR </t>
  </si>
  <si>
    <t>RURY PALNE (PVC, HDPE, PP)  STROP do EI 240</t>
  </si>
  <si>
    <t>KOSZT CAŁOWITY</t>
  </si>
  <si>
    <t>ILOŚĆ KOŁNIERZY</t>
  </si>
  <si>
    <t>RURY PALNE (PVC, HDPE, PP)  ŚCIANA do EI 120</t>
  </si>
  <si>
    <t>ALFA COLLAR</t>
  </si>
  <si>
    <t>WYBIERZ SYSTEM</t>
  </si>
  <si>
    <t>CENA</t>
  </si>
  <si>
    <t>ALFA UNIWRAP taśma 50mm</t>
  </si>
  <si>
    <t>ALFA UNIWRAP taśma 75mm</t>
  </si>
  <si>
    <t>CS - CENA ZA OPAKOWANIE JEDNOSTKOWE</t>
  </si>
  <si>
    <t>Z - ZUŻYCIE OPAKOWANIA JEDNOSTKOWEGO</t>
  </si>
  <si>
    <t>Z(kg) - ZUŻYCIE LUŹNEJ WEŁNY W KG</t>
  </si>
  <si>
    <t>SYSTEM: ALFA MASTIC 310ml</t>
  </si>
  <si>
    <t>ALFA MASTIC 
głębokość 15mm</t>
  </si>
  <si>
    <t>LUŹNA WEŁNA MINERALNA głębokość 20mm</t>
  </si>
  <si>
    <t>Z (kg)</t>
  </si>
  <si>
    <t>CS (zł/kg)</t>
  </si>
  <si>
    <t>CS - CENA ZA OPAKOWANIE</t>
  </si>
  <si>
    <t>Koszt materiałowy przejścia</t>
  </si>
  <si>
    <t>Z - ZUŻYCIE  OPAKOWANIA JEDNOSTKOWEGO</t>
  </si>
  <si>
    <t>CS - CENA WYJŚCIOWA/OPAK JEDNOSKOWE</t>
  </si>
  <si>
    <t>CF - CENA PO RABACIE/ OPAK. JEDNOSTKOWE</t>
  </si>
  <si>
    <t>Z (m2) - ZUŻYCIE WEŁNY W m2</t>
  </si>
  <si>
    <t>CS - CENA JEDNOSTKOWA ZA OPAKOWANIE</t>
  </si>
  <si>
    <t>CF - CENA JEDNOSTKOWA ZA OPAK. PO RABACIE</t>
  </si>
  <si>
    <t>RURY NIEPALNE - USZCZELNIENIE JEDNOSTRONNE, PŁYTA MALOWANA Z JEDNEJ STRONY 1 x 1-S</t>
  </si>
  <si>
    <t>FARBA ALFA COAT 8L</t>
  </si>
  <si>
    <t>POW. [m2]</t>
  </si>
  <si>
    <t>WYS. [cm]</t>
  </si>
  <si>
    <t>SZER. [cm]</t>
  </si>
  <si>
    <t>POWIERZCHNIA [m2]</t>
  </si>
  <si>
    <t>Wymiary otworu</t>
  </si>
  <si>
    <t>RURY NIEPALNE - USZCZELNIENIE JEDNOSTRONNE, PŁYTA MALOWANA Z DWÓCH STRON 1 x 2-S</t>
  </si>
  <si>
    <t>RURY NIEPALNE - USZCZELNIENIE OBUSTRONNE, PŁYTA MALOWANA Z DWÓCH STRON 2 x 2-S</t>
  </si>
  <si>
    <t>SYSTEM: ALFA MORTAR</t>
  </si>
  <si>
    <t>ALFA MORTAR 50mm STROP/ŚCIANA</t>
  </si>
  <si>
    <t xml:space="preserve">ZAPRAWA ALFA MORTAR 20l </t>
  </si>
  <si>
    <t>ALFA MASTIC 310 ml</t>
  </si>
  <si>
    <t>uszczelnienie 10mm</t>
  </si>
  <si>
    <t>uszczelnienie 30mm</t>
  </si>
  <si>
    <t>ALFA COAT+ROCKLIT</t>
  </si>
  <si>
    <t xml:space="preserve">ALFA MORTAR </t>
  </si>
  <si>
    <t>ALFA MORTAR 100mm STROP/ŚCIANA</t>
  </si>
  <si>
    <t>uszczelnienie 50mm</t>
  </si>
  <si>
    <t>uszczelnienie 100mm</t>
  </si>
  <si>
    <t>ALFA MASTIC</t>
  </si>
  <si>
    <t>rury PVC, PP do EI 240</t>
  </si>
  <si>
    <t>rury PVC do EI 180</t>
  </si>
  <si>
    <t>rury PE do EI 180</t>
  </si>
  <si>
    <t>strop</t>
  </si>
  <si>
    <t>ściana</t>
  </si>
  <si>
    <t>DN [mm]</t>
  </si>
  <si>
    <t>ALFA MASTIC 
głębokość 2 x 15mm</t>
  </si>
  <si>
    <t>POJEDYNCZE KABLE, USZCZELNIENIE DWUSTRONNE NA 1cm/4cm do EI 120</t>
  </si>
  <si>
    <t>OTWÓR</t>
  </si>
  <si>
    <t>KORYTO</t>
  </si>
  <si>
    <t>POWIERZCHNIA FR BOARD [m2]</t>
  </si>
  <si>
    <t>opakowanie (310/600)</t>
  </si>
  <si>
    <t>Zużycie ALFA MASTIC</t>
  </si>
  <si>
    <t>OBLICZENIE ZUŻUCIA ALFA MASTIC</t>
  </si>
  <si>
    <t>średnica otworu [mm]</t>
  </si>
  <si>
    <t>średnica rury [mm]</t>
  </si>
  <si>
    <t>głębokość masy [mm]</t>
  </si>
  <si>
    <t>KORYTA KABLOWE, DWIE PŁYTY MALOWANE DWUSTRONNIE, USZCZELNIENIE NA 10cm, EI 90</t>
  </si>
  <si>
    <t>Wymiar koryta 
[mm x mm]</t>
  </si>
  <si>
    <t>100x50</t>
  </si>
  <si>
    <t>200x50</t>
  </si>
  <si>
    <t>300x50</t>
  </si>
  <si>
    <t>400x50</t>
  </si>
  <si>
    <t>500x50</t>
  </si>
  <si>
    <t>600x50</t>
  </si>
  <si>
    <t>2x1</t>
  </si>
  <si>
    <t>2x2</t>
  </si>
  <si>
    <t>2x3</t>
  </si>
  <si>
    <t>2x4</t>
  </si>
  <si>
    <t>2x5</t>
  </si>
  <si>
    <t>2x6</t>
  </si>
  <si>
    <t>2x7</t>
  </si>
  <si>
    <t>2x8</t>
  </si>
  <si>
    <t>rury niepalne + armaflex strop</t>
  </si>
  <si>
    <t>rury niepalne + armaflex ściana</t>
  </si>
  <si>
    <t>ALFA COAT + ROCKLIT</t>
  </si>
  <si>
    <t>ALFA FIREFOAM PREMIUM</t>
  </si>
  <si>
    <t>SYSTEM: ALFA MASTIC 600ml</t>
  </si>
  <si>
    <t>ILOŚĆ [m]</t>
  </si>
  <si>
    <t>Szczelina</t>
  </si>
  <si>
    <t>WEŁNA ALFA FIRE WOOL
głębokość 25mm</t>
  </si>
  <si>
    <t>Koszt materiałowy przejścia 
[mb]</t>
  </si>
  <si>
    <t>DYLATACJE STROP, USZCZELNIENIE JEDNOSTRONNE głębokość 15mm + ALFA FIRE WOOL, do EI 180</t>
  </si>
  <si>
    <t>DYLATACJE STROP, USZCZELNIENIE OBUSTRONNE głębokość 15mm x 2, do 100mm, do EI 120</t>
  </si>
  <si>
    <t>LUŹNA WEŁNA MINERALNA
głębokość 2 x 25mm</t>
  </si>
  <si>
    <t>DYLATACJE ŚCIANY, USZCZELNIENIE OBUSTRONNE głębokość 15mm x 2, do 30mm, do EI 240</t>
  </si>
  <si>
    <t>SYSTEM: ALFA SEALANT 310ml</t>
  </si>
  <si>
    <t>ALFA SEALANT</t>
  </si>
  <si>
    <t>DYLATACJE STROP, USZCZELNIENIE JEDNOSTRONNE głębokość 25mm, do 100mm, do EI 120</t>
  </si>
  <si>
    <t>ILOŚĆ 
[m]</t>
  </si>
  <si>
    <t>DYLATACJE ŚCIANY G/K, MUROWANE, USZCZELNIENIE OBUSTRONNE głębokość 2 x 15mm, do 30mm, do EI 120</t>
  </si>
  <si>
    <t>PŁYTA Z WEŁNY MIN m2, 
gęstość min 150kg/m3</t>
  </si>
  <si>
    <t>ALFA FLEXI MASTIC</t>
  </si>
  <si>
    <t>ALFA FLEXI MASTIC
głębokość 2 x 12,5mm</t>
  </si>
  <si>
    <t>LUŹNA WEŁNA MINERALNA
głębokość 2 x 12,5mm</t>
  </si>
  <si>
    <t>DYLATACJE STROP, USZCZELNIENIE OBUSTRONNE głębokość 2 x 15mm, do 30mm, do EI 240</t>
  </si>
  <si>
    <t>SYSTEM: ALFA FELXI MASTIC 600ml</t>
  </si>
  <si>
    <t>Z (kg) - ZUŻYCIE  WEŁNY W KG</t>
  </si>
  <si>
    <t>CS - CENA WYJŚCIOWA/OPAK JEDNOSTKOWE</t>
  </si>
  <si>
    <t>SYSTEM: ASTRO FLEXI COAT 10kg</t>
  </si>
  <si>
    <t>FARBA ASTRO FLEXI COAT</t>
  </si>
  <si>
    <t>PŁYTA Z WEŁNY MINERALNEJ m2
np.. 2 x ROCKLIT150</t>
  </si>
  <si>
    <t>DYLATACJE W STROPACH DO 20cm</t>
  </si>
  <si>
    <t>DYLATACJE W ŚCIANACH (na podstawie raportu z badań - dwustronnie)</t>
  </si>
  <si>
    <t>Z (m2) - ZUŻYCIE WEŁNY W M2</t>
  </si>
  <si>
    <t>Z (kg) - ZUŻYCIE WEŁNY W KG</t>
  </si>
  <si>
    <t>ALFA MASTIC 600ml</t>
  </si>
  <si>
    <t>uszczelnienie strop jednostronne do EI 180</t>
  </si>
  <si>
    <t>uszczelnienie strop obustronne do EI 120</t>
  </si>
  <si>
    <t>uszczelnienie ściana obustronne do EI 240</t>
  </si>
  <si>
    <t>uszczelnienie strop jednostronne do EI 120</t>
  </si>
  <si>
    <t>uszczelnienie ściana obustronne do EI 120</t>
  </si>
  <si>
    <t>DYLATACJE ŚCIANY, STROP/ŚCIANA, USZCZELNIENIE OBUSTRONNE głębokość 2 x 12,5mm, do 30mm, do EI 120</t>
  </si>
  <si>
    <t>ALFA FLEXI MASTIC 600ml</t>
  </si>
  <si>
    <t>uszczelnienie strop, głębokość 2x15mm</t>
  </si>
  <si>
    <t>uszczelnienie ściana/strop głębokość 2x12,5mm</t>
  </si>
  <si>
    <t>ASTRO FLEXI COAT</t>
  </si>
  <si>
    <t>dylatacje w ścianach</t>
  </si>
  <si>
    <t>dylatacje w stropach</t>
  </si>
  <si>
    <t>ALFA SEALANT 310ml</t>
  </si>
  <si>
    <t>ILOŚĆ OPAKOWAŃ</t>
  </si>
  <si>
    <t>ILOŚĆ PŁYT</t>
  </si>
  <si>
    <t>ILOŚĆ OPAKOWAŃ FARBY</t>
  </si>
  <si>
    <t>Z (m2)</t>
  </si>
  <si>
    <t>CS (m2)</t>
  </si>
  <si>
    <t>ALFA COAT + 
ROCKLIT</t>
  </si>
  <si>
    <t>ILOŚĆ ZAPRAWY</t>
  </si>
  <si>
    <t>ALFA MORTAR + 
ROCKLIT</t>
  </si>
  <si>
    <t>ALFA COAT+
ROCKLIT</t>
  </si>
  <si>
    <t>ILOŚĆ FARBY</t>
  </si>
  <si>
    <t>ASTRO FLEXI COAT +
ROCKLIT</t>
  </si>
  <si>
    <t>SYSTEM: ALFA FIREFOAM PREMIUM</t>
  </si>
  <si>
    <t>Wym. A</t>
  </si>
  <si>
    <t>Wym. B</t>
  </si>
  <si>
    <t>Wym. C</t>
  </si>
  <si>
    <t>WYMIARY OTWORU [cm]</t>
  </si>
  <si>
    <t>LP</t>
  </si>
  <si>
    <t>Koszt materiałowy</t>
  </si>
  <si>
    <t>Objętość
[m3]</t>
  </si>
  <si>
    <t>ILOŚĆ PIANY</t>
  </si>
  <si>
    <t>uszczelnienie 1stronne, płyta malowana 1stronnie</t>
  </si>
  <si>
    <t>uszczelnienie 1stronne, płyta malowana 2stronnie</t>
  </si>
  <si>
    <t>uszczelnienie 2stronne, płyta malowana 2stronnie</t>
  </si>
  <si>
    <t>Objętość
[cm3]</t>
  </si>
  <si>
    <t>OBJĘTOŚĆ PIANKI
[cm3]</t>
  </si>
  <si>
    <t>Wym. C
grubość sciany</t>
  </si>
  <si>
    <t>ŚREDNICA RURY
[mm]</t>
  </si>
  <si>
    <t>WYMIARY OTWORU [mm]</t>
  </si>
  <si>
    <t>Z - ZUŻYCIE SZT.</t>
  </si>
  <si>
    <t>RURY NIEPALNE + ARMAFLEX STROP do EI 120 (wymaga jednostkowego dopuszczenia)</t>
  </si>
  <si>
    <t>RURY NIEPALNE + ARMAFLEX ŚCIANA do EI 120 (wymaga jednostkowego dopuszczenia)</t>
  </si>
  <si>
    <t>LUŹNA WEŁNA MINERALNA głębokość 2 x 20mm</t>
  </si>
  <si>
    <t>RURY NIEPALNE - USZCZELNIENIE DWUSTRONNE głęb. 2 x 15mm, szer. 10mm, do EI 120</t>
  </si>
  <si>
    <t>RURY NIEPALNE - USZCZELNIENIE DWUSTRONNE głęb. 2 x 15mm, szer. 30mm, do EI 120</t>
  </si>
  <si>
    <t>ILOŚĆ mb DYLATACJI</t>
  </si>
  <si>
    <t>SZEROKOŚĆ SZCZELINY
[cm]</t>
  </si>
  <si>
    <t>Objętość 1 op. piany po rozprężeniu
[l]</t>
  </si>
  <si>
    <t>GŁĘBOKOŚĆ PIANY
[cm]</t>
  </si>
  <si>
    <t>SZEROKOŚĆ ŚCIANY
[cm]</t>
  </si>
  <si>
    <t>Wym. C (głębokość)</t>
  </si>
  <si>
    <t>Obj. piany po rozprężeniu [L]</t>
  </si>
  <si>
    <t>Objętość piany
[cm3]</t>
  </si>
  <si>
    <t>ILOŚĆ WEŁNY [KG]</t>
  </si>
  <si>
    <t>WEŁNA MINERALNA Prorox LF 970 90kg/m3</t>
  </si>
  <si>
    <t>WEŁNA MINERALNA Prorox LF 970 90 kg/m3</t>
  </si>
  <si>
    <t>ILOŚĆ WEŁNY [kg]</t>
  </si>
  <si>
    <t>ALFA FOAM FR</t>
  </si>
  <si>
    <t>PVC,PP</t>
  </si>
  <si>
    <t>PVC</t>
  </si>
  <si>
    <t>SYSTEM: ALFA COAT + ROCKLIT 150</t>
  </si>
  <si>
    <t>Cena łupków [2m] 
Section AluCoat T</t>
  </si>
  <si>
    <t>PŁYTA Z WEŁNY MINERALNEJ m2, 
gęstość min 160kg/m3</t>
  </si>
  <si>
    <t>PŁYTA Z WEŁNY MIN m2, 
gęstość min 160kg/m3</t>
  </si>
  <si>
    <t>PŁYTA Z WEŁNY MINERALNEJ mkw, 
gęstość min 160kg/m3</t>
  </si>
  <si>
    <t xml:space="preserve">SYSTEM: ALFA FIREFOAM PREMIUM
Rury niepalne &lt; 80mm (konieczna izolacja z gumy nitrylowej) </t>
  </si>
  <si>
    <t>SZCZELINA [cm]</t>
  </si>
  <si>
    <t>ALFA FIREFOAM PREMIUM 750ml, DLA WIĄZKI KABLI DO 50mm I KABLA POJEDYNCZEGO DO 30mm; EI 90</t>
  </si>
  <si>
    <t>ALFA FIREFOAM PREMIUM 750ml, DLA WIĄZKI KABLI DO 100mm; EI 120 + podkład z wełny</t>
  </si>
  <si>
    <t>ALFA FIREFOAM PREMIUM 750ml</t>
  </si>
  <si>
    <t>SYSTEM: ALFAFOAM FR</t>
  </si>
  <si>
    <t>ALFAFOAM FR 750ml, MAX SZEROKOŚĆ SZCZELINY: 2cm na EI 60, 1cm na EI 90, szer. ściany min. 150mm</t>
  </si>
  <si>
    <t>ALFA FIREFOAM PREMIUM+
WEŁNA</t>
  </si>
  <si>
    <t>ALFA FR FOAM+
WEŁNA</t>
  </si>
  <si>
    <t>POWRÓT DO WYBORU SYSTEMU</t>
  </si>
  <si>
    <t>RURY PALNE</t>
  </si>
  <si>
    <t>RURY NIEPALNE</t>
  </si>
  <si>
    <t>KABLE, WIĄZKI, KORYTA</t>
  </si>
  <si>
    <t>DYLATACJE I SZCZELINY</t>
  </si>
  <si>
    <t>MENU GŁÓWNE</t>
  </si>
  <si>
    <t>SYSTEM: ALFA FLEXI MASTIC 600ml</t>
  </si>
  <si>
    <t>ALFAFOAM FR pistoletowa</t>
  </si>
  <si>
    <t>ALFAFOAM FR 750ml, USZCZELNIANIE DWUSTRONNE 2 x 5cm, na EI 180, szerokość ściany min 150mm</t>
  </si>
  <si>
    <t>Ilość rur</t>
  </si>
  <si>
    <t>Ilość owinięć</t>
  </si>
  <si>
    <t>Rabat</t>
  </si>
  <si>
    <t>Łączna ilość rur</t>
  </si>
  <si>
    <t>Cena po rabacie [il. rolek]</t>
  </si>
  <si>
    <t>UNIWRAP L 60mm</t>
  </si>
  <si>
    <t>UNIWRAP L 100mm</t>
  </si>
  <si>
    <t xml:space="preserve">  </t>
  </si>
  <si>
    <t>TAŚMA ALFA UNIWRAP L 60mm  - rury palne PVC, PP, HDPE</t>
  </si>
  <si>
    <t>Średnica
[mm]</t>
  </si>
  <si>
    <t>Materiał</t>
  </si>
  <si>
    <t>Grubość izolacji</t>
  </si>
  <si>
    <t>Odporność w ścianie</t>
  </si>
  <si>
    <t>Odporność w stropie</t>
  </si>
  <si>
    <t>Długość taśmy [mm]</t>
  </si>
  <si>
    <t>Ilość  z rolki [szt.]</t>
  </si>
  <si>
    <t>Cena katalogowa</t>
  </si>
  <si>
    <t>Koszt jednostkowy</t>
  </si>
  <si>
    <t>Koszt jednostkowy po rabacie</t>
  </si>
  <si>
    <t>PVC, PP, HDPE</t>
  </si>
  <si>
    <t>brak</t>
  </si>
  <si>
    <t>EI 120</t>
  </si>
  <si>
    <t>TAŚMA ALFA UNIWRAP L 100mm  - rury palne PVC, HDPE</t>
  </si>
  <si>
    <t>PVC, HDPE</t>
  </si>
  <si>
    <t>EI 120*/EI 60*</t>
  </si>
  <si>
    <t>*zależne od gr. ścianki</t>
  </si>
  <si>
    <t>HDPE</t>
  </si>
  <si>
    <t>EI 90*/EI 60*</t>
  </si>
  <si>
    <t>TAŚMA ALFA UNIWRAP L 60mm  - rury palne PP STABI (Al, Glass)</t>
  </si>
  <si>
    <t>PP STABI (Al,Glass)</t>
  </si>
  <si>
    <t>TAŚMA ALFA UNIWRAP L 60mm  - rury stalowe w izolacji z kauczuku syntetycznego</t>
  </si>
  <si>
    <t>Stal + Izolacja Armaflex</t>
  </si>
  <si>
    <t>EI 90</t>
  </si>
  <si>
    <t>EI 60</t>
  </si>
  <si>
    <t>RURY PALNE - UNIWRAP L</t>
  </si>
  <si>
    <t>SYSTEM: FR COATING</t>
  </si>
  <si>
    <t>FARBA FR COATING</t>
  </si>
  <si>
    <t>DYLATACJE W ŚCIANACH, grubość min. 150mm, położenie dwustronne</t>
  </si>
  <si>
    <t>Szczelina
[mm]</t>
  </si>
  <si>
    <t>FR COATING</t>
  </si>
  <si>
    <t>SYSTEM: ALFA UNIWRAP S opaski</t>
  </si>
  <si>
    <t>ALFA UNIWRAP S opaski</t>
  </si>
  <si>
    <t>RURY PALNE (PVC, HDPE, PP), ŚCIANA/STROP do EI 120</t>
  </si>
  <si>
    <t>-</t>
  </si>
  <si>
    <t>UNIWRAP L 60mm
[szt.]</t>
  </si>
  <si>
    <t>UNIWRAP L 100mm
[szt.]</t>
  </si>
  <si>
    <t>Zużycie całkowite [ilość rolek]</t>
  </si>
  <si>
    <t>DYLATACJE W STROPACH, grubość stropu min. 150mm, położenie jednostronne, od góry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</si>
</sst>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z_ł_-;\-* #,##0.00\ _z_ł_-;_-* &quot;-&quot;??\ _z_ł_-;_-@_-"/>
    <numFmt numFmtId="164" formatCode="_(&quot;zł&quot;* #,##0.00_);_(&quot;zł&quot;* \(#,##0.00\);_(&quot;zł&quot;* &quot;-&quot;??_);_(@_)"/>
    <numFmt numFmtId="165" formatCode="#,##0.00\ &quot;zł&quot;"/>
    <numFmt numFmtId="166" formatCode="0.000"/>
    <numFmt numFmtId="167" formatCode="0.0000"/>
    <numFmt numFmtId="168" formatCode="0.0"/>
  </numFmts>
  <fonts count="3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6"/>
      <color theme="0"/>
      <name val="Arial"/>
      <family val="2"/>
      <charset val="238"/>
    </font>
    <font>
      <sz val="16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4"/>
      <color theme="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u/>
      <sz val="11"/>
      <color rgb="FF0087E2"/>
      <name val="Calibri"/>
      <family val="2"/>
      <charset val="238"/>
      <scheme val="minor"/>
    </font>
    <font>
      <b/>
      <u/>
      <sz val="12"/>
      <color rgb="FF0071C1"/>
      <name val="Calibri"/>
      <family val="2"/>
      <charset val="238"/>
      <scheme val="minor"/>
    </font>
    <font>
      <b/>
      <u/>
      <sz val="12"/>
      <color rgb="FF0087E2"/>
      <name val="Calibri"/>
      <family val="2"/>
      <charset val="238"/>
      <scheme val="minor"/>
    </font>
    <font>
      <b/>
      <u/>
      <sz val="12"/>
      <color rgb="FF7030A0"/>
      <name val="Calibri"/>
      <family val="2"/>
      <charset val="238"/>
      <scheme val="minor"/>
    </font>
    <font>
      <b/>
      <u/>
      <sz val="12"/>
      <color theme="9" tint="-0.249977111117893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color theme="9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sz val="11"/>
      <color rgb="FF00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1C1"/>
        <bgColor indexed="64"/>
      </patternFill>
    </fill>
    <fill>
      <patternFill patternType="solid">
        <fgColor rgb="FF00B0F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82">
    <xf numFmtId="0" fontId="0" fillId="0" borderId="0" xfId="0"/>
    <xf numFmtId="165" fontId="2" fillId="5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5" borderId="1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0" borderId="0" xfId="0" applyFont="1"/>
    <xf numFmtId="0" fontId="2" fillId="0" borderId="0" xfId="0" applyFont="1"/>
    <xf numFmtId="0" fontId="2" fillId="5" borderId="4" xfId="0" applyFont="1" applyFill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8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9" fontId="2" fillId="0" borderId="4" xfId="3" applyFont="1" applyBorder="1" applyAlignment="1">
      <alignment horizontal="center" vertical="center"/>
    </xf>
    <xf numFmtId="9" fontId="2" fillId="0" borderId="4" xfId="3" applyFont="1" applyBorder="1" applyAlignment="1">
      <alignment horizontal="center"/>
    </xf>
    <xf numFmtId="9" fontId="2" fillId="0" borderId="4" xfId="3" applyFont="1" applyFill="1" applyBorder="1" applyAlignment="1">
      <alignment horizontal="center"/>
    </xf>
    <xf numFmtId="165" fontId="2" fillId="0" borderId="4" xfId="0" applyNumberFormat="1" applyFont="1" applyBorder="1"/>
    <xf numFmtId="166" fontId="2" fillId="0" borderId="4" xfId="0" applyNumberFormat="1" applyFont="1" applyBorder="1" applyAlignment="1">
      <alignment horizontal="center"/>
    </xf>
    <xf numFmtId="165" fontId="2" fillId="0" borderId="4" xfId="0" applyNumberFormat="1" applyFont="1" applyBorder="1" applyAlignment="1">
      <alignment horizontal="center" vertical="center"/>
    </xf>
    <xf numFmtId="165" fontId="2" fillId="0" borderId="4" xfId="2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7" fillId="0" borderId="0" xfId="1" quotePrefix="1" applyFont="1" applyAlignment="1">
      <alignment horizontal="left"/>
    </xf>
    <xf numFmtId="166" fontId="3" fillId="0" borderId="4" xfId="0" applyNumberFormat="1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167" fontId="8" fillId="0" borderId="4" xfId="0" applyNumberFormat="1" applyFont="1" applyBorder="1" applyAlignment="1">
      <alignment horizontal="center"/>
    </xf>
    <xf numFmtId="167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165" fontId="2" fillId="0" borderId="8" xfId="0" applyNumberFormat="1" applyFont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/>
    </xf>
    <xf numFmtId="0" fontId="10" fillId="0" borderId="0" xfId="0" applyFont="1"/>
    <xf numFmtId="0" fontId="2" fillId="0" borderId="4" xfId="0" applyFont="1" applyFill="1" applyBorder="1" applyAlignment="1">
      <alignment horizontal="center" vertical="center"/>
    </xf>
    <xf numFmtId="165" fontId="2" fillId="0" borderId="4" xfId="0" applyNumberFormat="1" applyFont="1" applyFill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0" fontId="3" fillId="0" borderId="0" xfId="0" applyFont="1" applyFill="1"/>
    <xf numFmtId="165" fontId="2" fillId="0" borderId="9" xfId="0" applyNumberFormat="1" applyFont="1" applyBorder="1" applyAlignment="1">
      <alignment horizontal="center"/>
    </xf>
    <xf numFmtId="165" fontId="2" fillId="5" borderId="4" xfId="0" applyNumberFormat="1" applyFont="1" applyFill="1" applyBorder="1" applyAlignment="1">
      <alignment horizontal="center"/>
    </xf>
    <xf numFmtId="1" fontId="2" fillId="5" borderId="4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4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 vertical="center"/>
    </xf>
    <xf numFmtId="9" fontId="2" fillId="0" borderId="0" xfId="3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12" fillId="0" borderId="0" xfId="0" applyFont="1"/>
    <xf numFmtId="0" fontId="6" fillId="0" borderId="0" xfId="0" applyFont="1" applyAlignment="1">
      <alignment horizontal="left"/>
    </xf>
    <xf numFmtId="0" fontId="2" fillId="5" borderId="9" xfId="0" applyFont="1" applyFill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6" fontId="3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65" fontId="2" fillId="5" borderId="4" xfId="0" applyNumberFormat="1" applyFont="1" applyFill="1" applyBorder="1" applyAlignment="1">
      <alignment horizontal="center" vertical="center"/>
    </xf>
    <xf numFmtId="1" fontId="2" fillId="5" borderId="4" xfId="0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9" fontId="0" fillId="0" borderId="4" xfId="3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/>
    </xf>
    <xf numFmtId="167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/>
    </xf>
    <xf numFmtId="10" fontId="2" fillId="0" borderId="4" xfId="0" applyNumberFormat="1" applyFont="1" applyBorder="1" applyAlignment="1">
      <alignment horizontal="center" vertical="center"/>
    </xf>
    <xf numFmtId="2" fontId="2" fillId="5" borderId="4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/>
    </xf>
    <xf numFmtId="165" fontId="6" fillId="4" borderId="10" xfId="0" applyNumberFormat="1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65" fontId="6" fillId="4" borderId="1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2" fontId="5" fillId="0" borderId="4" xfId="0" applyNumberFormat="1" applyFont="1" applyBorder="1" applyAlignment="1">
      <alignment horizontal="center"/>
    </xf>
    <xf numFmtId="2" fontId="2" fillId="5" borderId="1" xfId="0" applyNumberFormat="1" applyFont="1" applyFill="1" applyBorder="1" applyAlignment="1">
      <alignment horizontal="center"/>
    </xf>
    <xf numFmtId="2" fontId="2" fillId="5" borderId="4" xfId="0" applyNumberFormat="1" applyFont="1" applyFill="1" applyBorder="1" applyAlignment="1">
      <alignment horizontal="center"/>
    </xf>
    <xf numFmtId="166" fontId="2" fillId="5" borderId="4" xfId="0" applyNumberFormat="1" applyFont="1" applyFill="1" applyBorder="1" applyAlignment="1">
      <alignment horizontal="center"/>
    </xf>
    <xf numFmtId="167" fontId="2" fillId="5" borderId="4" xfId="0" applyNumberFormat="1" applyFont="1" applyFill="1" applyBorder="1" applyAlignment="1">
      <alignment horizontal="center"/>
    </xf>
    <xf numFmtId="2" fontId="2" fillId="5" borderId="1" xfId="0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166" fontId="2" fillId="5" borderId="4" xfId="0" applyNumberFormat="1" applyFont="1" applyFill="1" applyBorder="1" applyAlignment="1">
      <alignment horizontal="center" vertical="center"/>
    </xf>
    <xf numFmtId="167" fontId="2" fillId="5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 vertical="center"/>
    </xf>
    <xf numFmtId="165" fontId="14" fillId="4" borderId="4" xfId="0" applyNumberFormat="1" applyFont="1" applyFill="1" applyBorder="1" applyAlignment="1">
      <alignment horizontal="center" vertical="center"/>
    </xf>
    <xf numFmtId="166" fontId="13" fillId="0" borderId="4" xfId="0" applyNumberFormat="1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 applyProtection="1">
      <alignment horizontal="center" vertical="center"/>
      <protection locked="0"/>
    </xf>
    <xf numFmtId="9" fontId="3" fillId="6" borderId="4" xfId="3" applyFont="1" applyFill="1" applyBorder="1" applyAlignment="1" applyProtection="1">
      <alignment horizontal="center" vertical="center"/>
      <protection locked="0"/>
    </xf>
    <xf numFmtId="10" fontId="3" fillId="6" borderId="4" xfId="0" applyNumberFormat="1" applyFont="1" applyFill="1" applyBorder="1" applyAlignment="1" applyProtection="1">
      <alignment horizontal="center" vertical="center"/>
      <protection locked="0"/>
    </xf>
    <xf numFmtId="0" fontId="2" fillId="6" borderId="4" xfId="0" applyFont="1" applyFill="1" applyBorder="1" applyAlignment="1" applyProtection="1">
      <alignment horizontal="center"/>
      <protection locked="0"/>
    </xf>
    <xf numFmtId="9" fontId="3" fillId="6" borderId="4" xfId="3" applyFont="1" applyFill="1" applyBorder="1" applyAlignment="1" applyProtection="1">
      <alignment horizontal="center"/>
      <protection locked="0"/>
    </xf>
    <xf numFmtId="9" fontId="2" fillId="6" borderId="4" xfId="3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horizontal="center" vertical="center"/>
      <protection locked="0"/>
    </xf>
    <xf numFmtId="9" fontId="2" fillId="6" borderId="4" xfId="3" applyFont="1" applyFill="1" applyBorder="1" applyAlignment="1" applyProtection="1">
      <alignment horizontal="center" vertical="center"/>
      <protection locked="0"/>
    </xf>
    <xf numFmtId="9" fontId="0" fillId="6" borderId="4" xfId="3" applyFont="1" applyFill="1" applyBorder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Border="1" applyAlignment="1">
      <alignment horizontal="left" vertical="center"/>
    </xf>
    <xf numFmtId="0" fontId="1" fillId="0" borderId="0" xfId="1"/>
    <xf numFmtId="0" fontId="2" fillId="0" borderId="0" xfId="0" applyFont="1" applyAlignment="1">
      <alignment horizontal="left" vertical="center"/>
    </xf>
    <xf numFmtId="0" fontId="2" fillId="5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165" fontId="13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9" fontId="10" fillId="0" borderId="0" xfId="3" applyFont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9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0" fillId="0" borderId="0" xfId="0" applyNumberFormat="1" applyFont="1" applyAlignment="1">
      <alignment horizontal="center"/>
    </xf>
    <xf numFmtId="9" fontId="10" fillId="0" borderId="0" xfId="3" applyFont="1" applyAlignment="1">
      <alignment horizontal="center"/>
    </xf>
    <xf numFmtId="0" fontId="10" fillId="0" borderId="4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29" fillId="5" borderId="4" xfId="0" applyFont="1" applyFill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165" fontId="10" fillId="0" borderId="4" xfId="0" applyNumberFormat="1" applyFont="1" applyBorder="1" applyAlignment="1">
      <alignment horizontal="center"/>
    </xf>
    <xf numFmtId="0" fontId="10" fillId="0" borderId="4" xfId="4" applyNumberFormat="1" applyFont="1" applyBorder="1" applyAlignment="1">
      <alignment horizontal="center"/>
    </xf>
    <xf numFmtId="9" fontId="10" fillId="0" borderId="4" xfId="3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/>
    </xf>
    <xf numFmtId="9" fontId="10" fillId="0" borderId="0" xfId="3" applyFont="1" applyBorder="1" applyAlignment="1">
      <alignment horizontal="center"/>
    </xf>
    <xf numFmtId="168" fontId="10" fillId="0" borderId="4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168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9" fontId="10" fillId="0" borderId="5" xfId="3" applyFont="1" applyBorder="1" applyAlignment="1">
      <alignment horizontal="center"/>
    </xf>
    <xf numFmtId="1" fontId="29" fillId="5" borderId="4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165" fontId="29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0" xfId="1" applyFont="1" applyFill="1" applyBorder="1" applyAlignment="1">
      <alignment horizontal="center" vertical="center" wrapText="1"/>
    </xf>
    <xf numFmtId="0" fontId="17" fillId="0" borderId="0" xfId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9" fontId="10" fillId="6" borderId="4" xfId="3" applyFont="1" applyFill="1" applyBorder="1" applyAlignment="1" applyProtection="1">
      <alignment horizontal="center" vertical="center"/>
      <protection locked="0"/>
    </xf>
    <xf numFmtId="9" fontId="29" fillId="6" borderId="4" xfId="3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 applyProtection="1">
      <alignment horizontal="center"/>
      <protection locked="0"/>
    </xf>
    <xf numFmtId="0" fontId="17" fillId="11" borderId="0" xfId="1" applyFont="1" applyFill="1" applyBorder="1" applyAlignment="1">
      <alignment horizontal="center" vertical="center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/>
    </xf>
    <xf numFmtId="0" fontId="17" fillId="8" borderId="0" xfId="1" applyFont="1" applyFill="1" applyBorder="1" applyAlignment="1">
      <alignment horizontal="center" vertical="center"/>
    </xf>
    <xf numFmtId="0" fontId="18" fillId="11" borderId="0" xfId="1" applyFont="1" applyFill="1" applyBorder="1" applyAlignment="1">
      <alignment horizontal="center" vertical="center"/>
    </xf>
    <xf numFmtId="0" fontId="18" fillId="10" borderId="0" xfId="1" applyFont="1" applyFill="1" applyBorder="1" applyAlignment="1">
      <alignment horizontal="center" vertical="center"/>
    </xf>
    <xf numFmtId="0" fontId="17" fillId="9" borderId="0" xfId="1" applyFont="1" applyFill="1" applyBorder="1" applyAlignment="1">
      <alignment horizontal="center" vertical="center"/>
    </xf>
    <xf numFmtId="0" fontId="18" fillId="9" borderId="0" xfId="1" applyFont="1" applyFill="1" applyBorder="1" applyAlignment="1">
      <alignment horizontal="center" vertical="center"/>
    </xf>
    <xf numFmtId="0" fontId="18" fillId="8" borderId="0" xfId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/>
    </xf>
    <xf numFmtId="0" fontId="2" fillId="5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1" fillId="9" borderId="0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" fillId="5" borderId="4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6" fillId="3" borderId="0" xfId="1" applyFont="1" applyFill="1" applyAlignment="1">
      <alignment horizontal="center"/>
    </xf>
    <xf numFmtId="0" fontId="28" fillId="7" borderId="6" xfId="0" applyFont="1" applyFill="1" applyBorder="1" applyAlignment="1">
      <alignment horizontal="center" vertical="center" wrapText="1"/>
    </xf>
    <xf numFmtId="0" fontId="28" fillId="7" borderId="8" xfId="0" applyFont="1" applyFill="1" applyBorder="1" applyAlignment="1">
      <alignment horizontal="center" vertical="center" wrapText="1"/>
    </xf>
    <xf numFmtId="168" fontId="10" fillId="0" borderId="9" xfId="0" applyNumberFormat="1" applyFont="1" applyBorder="1" applyAlignment="1">
      <alignment horizontal="center" vertical="center"/>
    </xf>
    <xf numFmtId="168" fontId="10" fillId="0" borderId="10" xfId="0" applyNumberFormat="1" applyFont="1" applyBorder="1" applyAlignment="1">
      <alignment horizontal="center" vertical="center"/>
    </xf>
    <xf numFmtId="168" fontId="10" fillId="0" borderId="11" xfId="0" applyNumberFormat="1" applyFont="1" applyBorder="1" applyAlignment="1">
      <alignment horizontal="center" vertical="center"/>
    </xf>
    <xf numFmtId="0" fontId="28" fillId="7" borderId="13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28" fillId="7" borderId="9" xfId="0" applyFont="1" applyFill="1" applyBorder="1" applyAlignment="1">
      <alignment horizontal="center" vertical="center" wrapText="1"/>
    </xf>
    <xf numFmtId="0" fontId="28" fillId="7" borderId="10" xfId="0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/>
    </xf>
    <xf numFmtId="0" fontId="20" fillId="0" borderId="0" xfId="1" quotePrefix="1" applyFont="1" applyAlignment="1">
      <alignment horizontal="left"/>
    </xf>
    <xf numFmtId="0" fontId="2" fillId="5" borderId="6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6" fillId="10" borderId="0" xfId="0" applyFont="1" applyFill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22" fillId="0" borderId="0" xfId="1" quotePrefix="1" applyFont="1" applyAlignment="1">
      <alignment horizontal="left"/>
    </xf>
    <xf numFmtId="0" fontId="2" fillId="5" borderId="4" xfId="0" applyFont="1" applyFill="1" applyBorder="1" applyAlignment="1">
      <alignment horizontal="center" vertical="center" wrapText="1"/>
    </xf>
    <xf numFmtId="165" fontId="5" fillId="0" borderId="4" xfId="0" applyNumberFormat="1" applyFont="1" applyBorder="1" applyAlignment="1">
      <alignment horizontal="center" vertical="center"/>
    </xf>
    <xf numFmtId="0" fontId="26" fillId="12" borderId="0" xfId="1" applyFont="1" applyFill="1" applyAlignment="1">
      <alignment horizontal="center"/>
    </xf>
    <xf numFmtId="0" fontId="9" fillId="3" borderId="5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wrapText="1"/>
    </xf>
    <xf numFmtId="0" fontId="11" fillId="10" borderId="0" xfId="0" applyFont="1" applyFill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/>
    </xf>
    <xf numFmtId="166" fontId="3" fillId="0" borderId="7" xfId="0" applyNumberFormat="1" applyFont="1" applyBorder="1" applyAlignment="1">
      <alignment horizontal="center" vertical="center"/>
    </xf>
    <xf numFmtId="166" fontId="3" fillId="0" borderId="8" xfId="0" applyNumberFormat="1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23" fillId="0" borderId="0" xfId="1" quotePrefix="1" applyFont="1" applyAlignment="1">
      <alignment horizontal="left" vertical="center"/>
    </xf>
    <xf numFmtId="0" fontId="7" fillId="0" borderId="0" xfId="1" quotePrefix="1" applyFont="1" applyAlignment="1">
      <alignment horizontal="left" vertical="center"/>
    </xf>
    <xf numFmtId="0" fontId="26" fillId="13" borderId="0" xfId="1" applyFont="1" applyFill="1" applyAlignment="1">
      <alignment horizontal="center"/>
    </xf>
    <xf numFmtId="0" fontId="2" fillId="5" borderId="8" xfId="0" applyFont="1" applyFill="1" applyBorder="1" applyAlignment="1">
      <alignment horizontal="center" vertical="center"/>
    </xf>
    <xf numFmtId="0" fontId="24" fillId="0" borderId="0" xfId="1" quotePrefix="1" applyFont="1" applyAlignment="1">
      <alignment horizontal="left" vertical="center"/>
    </xf>
    <xf numFmtId="0" fontId="13" fillId="5" borderId="4" xfId="0" applyFont="1" applyFill="1" applyBorder="1" applyAlignment="1">
      <alignment horizontal="center" vertical="center"/>
    </xf>
    <xf numFmtId="0" fontId="11" fillId="11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165" fontId="13" fillId="0" borderId="4" xfId="0" applyNumberFormat="1" applyFon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/>
    </xf>
    <xf numFmtId="165" fontId="13" fillId="0" borderId="10" xfId="0" applyNumberFormat="1" applyFont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27" fillId="0" borderId="0" xfId="1" quotePrefix="1" applyFont="1" applyAlignment="1">
      <alignment horizontal="left" vertical="center"/>
    </xf>
    <xf numFmtId="0" fontId="25" fillId="6" borderId="0" xfId="1" applyFont="1" applyFill="1" applyAlignment="1">
      <alignment horizontal="center" vertical="center"/>
    </xf>
  </cellXfs>
  <cellStyles count="5">
    <cellStyle name="Dziesiętny" xfId="4" builtinId="3"/>
    <cellStyle name="Hiperłącze" xfId="1" builtinId="8"/>
    <cellStyle name="Normalny" xfId="0" builtinId="0"/>
    <cellStyle name="Procentowy" xfId="3" builtinId="5"/>
    <cellStyle name="Walutowy" xfId="2" builtinId="4"/>
  </cellStyles>
  <dxfs count="0"/>
  <tableStyles count="0" defaultTableStyle="TableStyleMedium2" defaultPivotStyle="PivotStyleLight16"/>
  <colors>
    <mruColors>
      <color rgb="FF0066FF"/>
      <color rgb="FF0087E2"/>
      <color rgb="FF00B0F1"/>
      <color rgb="FF0071C1"/>
      <color rgb="FFED7D31"/>
      <color rgb="FF7030A0"/>
      <color rgb="FF70FFFF"/>
      <color rgb="FF3BB0FF"/>
      <color rgb="FF8FC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5.emf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png"/><Relationship Id="rId5" Type="http://schemas.openxmlformats.org/officeDocument/2006/relationships/image" Target="../media/image1.jpeg"/><Relationship Id="rId4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7.emf"/><Relationship Id="rId1" Type="http://schemas.openxmlformats.org/officeDocument/2006/relationships/image" Target="../media/image11.png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6" Type="http://schemas.openxmlformats.org/officeDocument/2006/relationships/image" Target="../media/image16.emf"/><Relationship Id="rId5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18</xdr:col>
      <xdr:colOff>93191</xdr:colOff>
      <xdr:row>5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9846791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235324</xdr:colOff>
      <xdr:row>20</xdr:row>
      <xdr:rowOff>56552</xdr:rowOff>
    </xdr:from>
    <xdr:to>
      <xdr:col>4</xdr:col>
      <xdr:colOff>347383</xdr:colOff>
      <xdr:row>25</xdr:row>
      <xdr:rowOff>95941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48" y="3250228"/>
          <a:ext cx="930088" cy="879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349764</xdr:colOff>
      <xdr:row>65</xdr:row>
      <xdr:rowOff>138749</xdr:rowOff>
    </xdr:from>
    <xdr:to>
      <xdr:col>3</xdr:col>
      <xdr:colOff>486012</xdr:colOff>
      <xdr:row>70</xdr:row>
      <xdr:rowOff>167580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36" b="4546"/>
        <a:stretch>
          <a:fillRect/>
        </a:stretch>
      </xdr:blipFill>
      <xdr:spPr bwMode="auto">
        <a:xfrm>
          <a:off x="1673739" y="8234999"/>
          <a:ext cx="955398" cy="886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174132</xdr:colOff>
      <xdr:row>179</xdr:row>
      <xdr:rowOff>38100</xdr:rowOff>
    </xdr:from>
    <xdr:to>
      <xdr:col>4</xdr:col>
      <xdr:colOff>471488</xdr:colOff>
      <xdr:row>184</xdr:row>
      <xdr:rowOff>44823</xdr:rowOff>
    </xdr:to>
    <xdr:pic>
      <xdr:nvPicPr>
        <xdr:cNvPr id="7" name="Obraz 5" descr="http://alfaseal.home.pl/autoinstalator/wordpress/wp-content/uploads/2013/09/asrto_collar_01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456" y="26147806"/>
          <a:ext cx="1115385" cy="84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91281</xdr:rowOff>
    </xdr:from>
    <xdr:to>
      <xdr:col>10</xdr:col>
      <xdr:colOff>590346</xdr:colOff>
      <xdr:row>5</xdr:row>
      <xdr:rowOff>147963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1281"/>
          <a:ext cx="8999560" cy="941146"/>
        </a:xfrm>
        <a:prstGeom prst="rect">
          <a:avLst/>
        </a:prstGeom>
      </xdr:spPr>
    </xdr:pic>
    <xdr:clientData/>
  </xdr:twoCellAnchor>
  <xdr:twoCellAnchor editAs="oneCell">
    <xdr:from>
      <xdr:col>3</xdr:col>
      <xdr:colOff>503464</xdr:colOff>
      <xdr:row>42</xdr:row>
      <xdr:rowOff>27215</xdr:rowOff>
    </xdr:from>
    <xdr:to>
      <xdr:col>4</xdr:col>
      <xdr:colOff>653142</xdr:colOff>
      <xdr:row>47</xdr:row>
      <xdr:rowOff>129690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85" y="8259536"/>
          <a:ext cx="966107" cy="986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285750</xdr:colOff>
          <xdr:row>16</xdr:row>
          <xdr:rowOff>19050</xdr:rowOff>
        </xdr:from>
        <xdr:to>
          <xdr:col>10</xdr:col>
          <xdr:colOff>352425</xdr:colOff>
          <xdr:row>19</xdr:row>
          <xdr:rowOff>180975</xdr:rowOff>
        </xdr:to>
        <xdr:sp macro="" textlink="">
          <xdr:nvSpPr>
            <xdr:cNvPr id="2049" name="Przycisk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379131</xdr:colOff>
      <xdr:row>1</xdr:row>
      <xdr:rowOff>35484</xdr:rowOff>
    </xdr:from>
    <xdr:to>
      <xdr:col>13</xdr:col>
      <xdr:colOff>74174</xdr:colOff>
      <xdr:row>7</xdr:row>
      <xdr:rowOff>38723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756" y="194234"/>
          <a:ext cx="9011400" cy="9557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552450</xdr:colOff>
          <xdr:row>5</xdr:row>
          <xdr:rowOff>95250</xdr:rowOff>
        </xdr:from>
        <xdr:to>
          <xdr:col>15</xdr:col>
          <xdr:colOff>666750</xdr:colOff>
          <xdr:row>8</xdr:row>
          <xdr:rowOff>114300</xdr:rowOff>
        </xdr:to>
        <xdr:sp macro="" textlink="">
          <xdr:nvSpPr>
            <xdr:cNvPr id="6146" name="Przycisk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172895</xdr:colOff>
      <xdr:row>22</xdr:row>
      <xdr:rowOff>22570</xdr:rowOff>
    </xdr:from>
    <xdr:to>
      <xdr:col>7</xdr:col>
      <xdr:colOff>535178</xdr:colOff>
      <xdr:row>28</xdr:row>
      <xdr:rowOff>128867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495" y="3746845"/>
          <a:ext cx="1709230" cy="112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282791</xdr:colOff>
      <xdr:row>66</xdr:row>
      <xdr:rowOff>94909</xdr:rowOff>
    </xdr:from>
    <xdr:to>
      <xdr:col>6</xdr:col>
      <xdr:colOff>202407</xdr:colOff>
      <xdr:row>71</xdr:row>
      <xdr:rowOff>73597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909" y="12275703"/>
          <a:ext cx="1442915" cy="81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429827</xdr:colOff>
      <xdr:row>123</xdr:row>
      <xdr:rowOff>60834</xdr:rowOff>
    </xdr:from>
    <xdr:to>
      <xdr:col>6</xdr:col>
      <xdr:colOff>234425</xdr:colOff>
      <xdr:row>128</xdr:row>
      <xdr:rowOff>141895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0945" y="19973687"/>
          <a:ext cx="1327897" cy="92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172085</xdr:colOff>
      <xdr:row>168</xdr:row>
      <xdr:rowOff>89647</xdr:rowOff>
    </xdr:from>
    <xdr:to>
      <xdr:col>6</xdr:col>
      <xdr:colOff>702</xdr:colOff>
      <xdr:row>174</xdr:row>
      <xdr:rowOff>123265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056" y="31522147"/>
          <a:ext cx="1351916" cy="104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0</xdr:row>
      <xdr:rowOff>83344</xdr:rowOff>
    </xdr:from>
    <xdr:to>
      <xdr:col>13</xdr:col>
      <xdr:colOff>238125</xdr:colOff>
      <xdr:row>5</xdr:row>
      <xdr:rowOff>158169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8" y="83344"/>
          <a:ext cx="8882062" cy="9082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361950</xdr:colOff>
          <xdr:row>15</xdr:row>
          <xdr:rowOff>171450</xdr:rowOff>
        </xdr:from>
        <xdr:to>
          <xdr:col>15</xdr:col>
          <xdr:colOff>133350</xdr:colOff>
          <xdr:row>19</xdr:row>
          <xdr:rowOff>38100</xdr:rowOff>
        </xdr:to>
        <xdr:sp macro="" textlink="">
          <xdr:nvSpPr>
            <xdr:cNvPr id="3073" name="Przycisk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54430</xdr:colOff>
      <xdr:row>18</xdr:row>
      <xdr:rowOff>54430</xdr:rowOff>
    </xdr:from>
    <xdr:to>
      <xdr:col>8</xdr:col>
      <xdr:colOff>374488</xdr:colOff>
      <xdr:row>24</xdr:row>
      <xdr:rowOff>116870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068537"/>
          <a:ext cx="1832052" cy="1070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40822</xdr:colOff>
      <xdr:row>37</xdr:row>
      <xdr:rowOff>40822</xdr:rowOff>
    </xdr:from>
    <xdr:to>
      <xdr:col>5</xdr:col>
      <xdr:colOff>557893</xdr:colOff>
      <xdr:row>41</xdr:row>
      <xdr:rowOff>128344</xdr:rowOff>
    </xdr:to>
    <xdr:pic>
      <xdr:nvPicPr>
        <xdr:cNvPr id="4" name="Obraz 4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965" y="7905751"/>
          <a:ext cx="1303884" cy="759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62</xdr:row>
      <xdr:rowOff>56031</xdr:rowOff>
    </xdr:from>
    <xdr:to>
      <xdr:col>5</xdr:col>
      <xdr:colOff>744697</xdr:colOff>
      <xdr:row>68</xdr:row>
      <xdr:rowOff>89651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853" y="10230972"/>
          <a:ext cx="1351916" cy="104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500062</xdr:colOff>
      <xdr:row>0</xdr:row>
      <xdr:rowOff>130970</xdr:rowOff>
    </xdr:from>
    <xdr:to>
      <xdr:col>13</xdr:col>
      <xdr:colOff>673554</xdr:colOff>
      <xdr:row>6</xdr:row>
      <xdr:rowOff>35720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81" y="130970"/>
          <a:ext cx="9286875" cy="904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438150</xdr:colOff>
          <xdr:row>12</xdr:row>
          <xdr:rowOff>19050</xdr:rowOff>
        </xdr:from>
        <xdr:to>
          <xdr:col>15</xdr:col>
          <xdr:colOff>57150</xdr:colOff>
          <xdr:row>15</xdr:row>
          <xdr:rowOff>57150</xdr:rowOff>
        </xdr:to>
        <xdr:sp macro="" textlink="">
          <xdr:nvSpPr>
            <xdr:cNvPr id="4097" name="Przycisk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636445</xdr:colOff>
      <xdr:row>104</xdr:row>
      <xdr:rowOff>47625</xdr:rowOff>
    </xdr:from>
    <xdr:to>
      <xdr:col>4</xdr:col>
      <xdr:colOff>848648</xdr:colOff>
      <xdr:row>110</xdr:row>
      <xdr:rowOff>51825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851" y="17752219"/>
          <a:ext cx="1101869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94994</xdr:colOff>
      <xdr:row>131</xdr:row>
      <xdr:rowOff>83345</xdr:rowOff>
    </xdr:from>
    <xdr:to>
      <xdr:col>5</xdr:col>
      <xdr:colOff>550745</xdr:colOff>
      <xdr:row>137</xdr:row>
      <xdr:rowOff>87547</xdr:rowOff>
    </xdr:to>
    <xdr:pic>
      <xdr:nvPicPr>
        <xdr:cNvPr id="4" name="Obraz 8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588" y="22526626"/>
          <a:ext cx="1345216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404814</xdr:colOff>
      <xdr:row>70</xdr:row>
      <xdr:rowOff>83344</xdr:rowOff>
    </xdr:from>
    <xdr:to>
      <xdr:col>5</xdr:col>
      <xdr:colOff>132571</xdr:colOff>
      <xdr:row>76</xdr:row>
      <xdr:rowOff>20076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2778" y="13867380"/>
          <a:ext cx="1469471" cy="998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442234</xdr:colOff>
      <xdr:row>26</xdr:row>
      <xdr:rowOff>124765</xdr:rowOff>
    </xdr:from>
    <xdr:to>
      <xdr:col>5</xdr:col>
      <xdr:colOff>308764</xdr:colOff>
      <xdr:row>32</xdr:row>
      <xdr:rowOff>45540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1020" y="4751194"/>
          <a:ext cx="1608244" cy="98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625930</xdr:colOff>
      <xdr:row>0</xdr:row>
      <xdr:rowOff>54429</xdr:rowOff>
    </xdr:from>
    <xdr:to>
      <xdr:col>15</xdr:col>
      <xdr:colOff>27215</xdr:colOff>
      <xdr:row>6</xdr:row>
      <xdr:rowOff>68036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54429"/>
          <a:ext cx="10940143" cy="1074964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163285</xdr:colOff>
      <xdr:row>201</xdr:row>
      <xdr:rowOff>54430</xdr:rowOff>
    </xdr:from>
    <xdr:to>
      <xdr:col>6</xdr:col>
      <xdr:colOff>421821</xdr:colOff>
      <xdr:row>209</xdr:row>
      <xdr:rowOff>128608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42467894"/>
          <a:ext cx="1864179" cy="1489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581025</xdr:colOff>
          <xdr:row>21</xdr:row>
          <xdr:rowOff>133350</xdr:rowOff>
        </xdr:from>
        <xdr:to>
          <xdr:col>16</xdr:col>
          <xdr:colOff>361950</xdr:colOff>
          <xdr:row>24</xdr:row>
          <xdr:rowOff>123825</xdr:rowOff>
        </xdr:to>
        <xdr:sp macro="" textlink="">
          <xdr:nvSpPr>
            <xdr:cNvPr id="5121" name="Przycisk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zemys&#322;aw/Dysk%20Google/SO/ASORTYMENT_DLA_DT/AAA__CENNIK_i_INNE/Kalkulatory/Kalkulator_nowe%20tasmy_WK_1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klator ALFA UNIWRAP L"/>
      <sheetName val="robocze"/>
    </sheetNames>
    <sheetDataSet>
      <sheetData sheetId="0"/>
      <sheetData sheetId="1">
        <row r="2">
          <cell r="B2" t="str">
            <v>PVC</v>
          </cell>
          <cell r="C2" t="str">
            <v>PVC</v>
          </cell>
          <cell r="F2">
            <v>42.4</v>
          </cell>
        </row>
        <row r="3">
          <cell r="B3" t="str">
            <v>HDPE</v>
          </cell>
          <cell r="C3" t="str">
            <v>PVC</v>
          </cell>
          <cell r="F3">
            <v>42.4</v>
          </cell>
        </row>
        <row r="4">
          <cell r="B4" t="str">
            <v>PP</v>
          </cell>
          <cell r="C4" t="str">
            <v>PVC</v>
          </cell>
          <cell r="F4">
            <v>42.4</v>
          </cell>
        </row>
        <row r="5">
          <cell r="B5" t="str">
            <v>PP STABI</v>
          </cell>
          <cell r="C5" t="str">
            <v>PVC</v>
          </cell>
          <cell r="F5">
            <v>42.4</v>
          </cell>
        </row>
        <row r="6">
          <cell r="B6" t="str">
            <v>STAL + ARMAFLEX</v>
          </cell>
          <cell r="C6" t="str">
            <v>PVC</v>
          </cell>
          <cell r="F6">
            <v>42.4</v>
          </cell>
        </row>
        <row r="7">
          <cell r="C7" t="str">
            <v>PVC</v>
          </cell>
          <cell r="F7">
            <v>42.4</v>
          </cell>
        </row>
        <row r="8">
          <cell r="C8" t="str">
            <v>PVC</v>
          </cell>
          <cell r="F8">
            <v>44.5</v>
          </cell>
        </row>
        <row r="9">
          <cell r="C9" t="str">
            <v>PVC</v>
          </cell>
          <cell r="F9">
            <v>44.5</v>
          </cell>
        </row>
        <row r="10">
          <cell r="C10" t="str">
            <v>PVC</v>
          </cell>
          <cell r="F10">
            <v>44.5</v>
          </cell>
        </row>
        <row r="11">
          <cell r="C11" t="str">
            <v>PVC</v>
          </cell>
          <cell r="F11">
            <v>44.5</v>
          </cell>
        </row>
        <row r="12">
          <cell r="C12" t="str">
            <v>PVC</v>
          </cell>
          <cell r="F12">
            <v>44.5</v>
          </cell>
        </row>
        <row r="13">
          <cell r="C13" t="str">
            <v>HDPE</v>
          </cell>
          <cell r="F13">
            <v>44.5</v>
          </cell>
        </row>
        <row r="14">
          <cell r="C14" t="str">
            <v>HDPE</v>
          </cell>
          <cell r="F14">
            <v>48.3</v>
          </cell>
        </row>
        <row r="15">
          <cell r="C15" t="str">
            <v>HDPE</v>
          </cell>
          <cell r="F15">
            <v>48.3</v>
          </cell>
        </row>
        <row r="16">
          <cell r="C16" t="str">
            <v>HDPE</v>
          </cell>
          <cell r="F16">
            <v>48.3</v>
          </cell>
        </row>
        <row r="17">
          <cell r="C17" t="str">
            <v>HDPE</v>
          </cell>
          <cell r="F17">
            <v>48.3</v>
          </cell>
        </row>
        <row r="18">
          <cell r="C18" t="str">
            <v>HDPE</v>
          </cell>
          <cell r="F18">
            <v>48.3</v>
          </cell>
        </row>
        <row r="19">
          <cell r="C19" t="str">
            <v>HDPE</v>
          </cell>
          <cell r="F19">
            <v>51</v>
          </cell>
        </row>
        <row r="20">
          <cell r="C20" t="str">
            <v>HDPE</v>
          </cell>
          <cell r="F20">
            <v>51</v>
          </cell>
        </row>
        <row r="21">
          <cell r="C21" t="str">
            <v>HDPE</v>
          </cell>
          <cell r="F21">
            <v>51</v>
          </cell>
        </row>
        <row r="22">
          <cell r="C22" t="str">
            <v>HDPE</v>
          </cell>
          <cell r="F22">
            <v>51</v>
          </cell>
        </row>
        <row r="23">
          <cell r="C23" t="str">
            <v>HDPE</v>
          </cell>
          <cell r="F23">
            <v>54</v>
          </cell>
        </row>
        <row r="24">
          <cell r="C24" t="str">
            <v>PP</v>
          </cell>
          <cell r="F24">
            <v>54</v>
          </cell>
        </row>
        <row r="25">
          <cell r="C25" t="str">
            <v>PP</v>
          </cell>
          <cell r="F25">
            <v>54</v>
          </cell>
        </row>
        <row r="26">
          <cell r="C26" t="str">
            <v>PP</v>
          </cell>
          <cell r="F26">
            <v>54</v>
          </cell>
        </row>
        <row r="27">
          <cell r="C27" t="str">
            <v>PP</v>
          </cell>
          <cell r="F27">
            <v>57</v>
          </cell>
        </row>
        <row r="28">
          <cell r="C28" t="str">
            <v>PP</v>
          </cell>
          <cell r="F28">
            <v>57</v>
          </cell>
        </row>
        <row r="29">
          <cell r="C29" t="str">
            <v>PP</v>
          </cell>
          <cell r="F29">
            <v>57</v>
          </cell>
        </row>
        <row r="30">
          <cell r="C30" t="str">
            <v>PP</v>
          </cell>
          <cell r="F30">
            <v>57</v>
          </cell>
        </row>
        <row r="31">
          <cell r="C31" t="str">
            <v>PP</v>
          </cell>
          <cell r="F31">
            <v>60.3</v>
          </cell>
        </row>
        <row r="32">
          <cell r="C32" t="str">
            <v>PP STABI</v>
          </cell>
          <cell r="F32">
            <v>60.3</v>
          </cell>
        </row>
        <row r="33">
          <cell r="C33" t="str">
            <v>PP STABI</v>
          </cell>
          <cell r="F33">
            <v>60.3</v>
          </cell>
        </row>
        <row r="34">
          <cell r="C34" t="str">
            <v>PP STABI</v>
          </cell>
          <cell r="F34">
            <v>60.3</v>
          </cell>
        </row>
        <row r="35">
          <cell r="C35" t="str">
            <v>PP STABI</v>
          </cell>
          <cell r="F35">
            <v>63.5</v>
          </cell>
        </row>
        <row r="36">
          <cell r="C36" t="str">
            <v>PP STABI</v>
          </cell>
          <cell r="F36">
            <v>63.5</v>
          </cell>
        </row>
        <row r="37">
          <cell r="C37" t="str">
            <v>PP STABI</v>
          </cell>
          <cell r="F37">
            <v>63.5</v>
          </cell>
        </row>
        <row r="38">
          <cell r="C38" t="str">
            <v>PP STABI</v>
          </cell>
          <cell r="F38">
            <v>70</v>
          </cell>
        </row>
        <row r="39">
          <cell r="C39" t="str">
            <v>PP STABI</v>
          </cell>
          <cell r="F39">
            <v>70</v>
          </cell>
        </row>
        <row r="40">
          <cell r="C40" t="str">
            <v>PP STABI</v>
          </cell>
          <cell r="F40">
            <v>70</v>
          </cell>
        </row>
        <row r="41">
          <cell r="C41" t="str">
            <v>STAL + ARMAFLEX</v>
          </cell>
          <cell r="F41">
            <v>73</v>
          </cell>
        </row>
        <row r="42">
          <cell r="C42" t="str">
            <v>STAL + ARMAFLEX</v>
          </cell>
          <cell r="F42">
            <v>73</v>
          </cell>
        </row>
        <row r="43">
          <cell r="C43" t="str">
            <v>STAL + ARMAFLEX</v>
          </cell>
          <cell r="F43">
            <v>73</v>
          </cell>
        </row>
        <row r="44">
          <cell r="C44" t="str">
            <v>STAL + ARMAFLEX</v>
          </cell>
          <cell r="F44">
            <v>76.099999999999994</v>
          </cell>
        </row>
        <row r="45">
          <cell r="C45" t="str">
            <v>STAL + ARMAFLEX</v>
          </cell>
          <cell r="F45">
            <v>76.099999999999994</v>
          </cell>
        </row>
        <row r="46">
          <cell r="C46" t="str">
            <v>STAL + ARMAFLEX</v>
          </cell>
          <cell r="F46">
            <v>76.099999999999994</v>
          </cell>
        </row>
        <row r="47">
          <cell r="C47" t="str">
            <v>STAL + ARMAFLEX</v>
          </cell>
          <cell r="F47">
            <v>82.5</v>
          </cell>
        </row>
        <row r="48">
          <cell r="C48" t="str">
            <v>STAL + ARMAFLEX</v>
          </cell>
          <cell r="F48">
            <v>82.5</v>
          </cell>
        </row>
        <row r="49">
          <cell r="C49" t="str">
            <v>STAL + ARMAFLEX</v>
          </cell>
          <cell r="F49">
            <v>88.9</v>
          </cell>
        </row>
        <row r="50">
          <cell r="C50" t="str">
            <v>STAL + ARMAFLEX</v>
          </cell>
          <cell r="F50">
            <v>88.9</v>
          </cell>
        </row>
        <row r="51">
          <cell r="C51" t="str">
            <v>STAL + ARMAFLEX</v>
          </cell>
          <cell r="F51">
            <v>88.9</v>
          </cell>
        </row>
        <row r="52">
          <cell r="C52" t="str">
            <v>STAL + ARMAFLEX</v>
          </cell>
          <cell r="F52">
            <v>101.6</v>
          </cell>
        </row>
        <row r="53">
          <cell r="C53" t="str">
            <v>STAL + ARMAFLEX</v>
          </cell>
          <cell r="F53">
            <v>101.6</v>
          </cell>
        </row>
        <row r="54">
          <cell r="C54" t="str">
            <v>STAL + ARMAFLEX</v>
          </cell>
          <cell r="F54">
            <v>108</v>
          </cell>
        </row>
        <row r="55">
          <cell r="C55" t="str">
            <v>STAL + ARMAFLEX</v>
          </cell>
          <cell r="F55">
            <v>108</v>
          </cell>
        </row>
        <row r="56">
          <cell r="C56" t="str">
            <v>STAL + ARMAFLEX</v>
          </cell>
          <cell r="F56">
            <v>114.3</v>
          </cell>
        </row>
        <row r="57">
          <cell r="C57" t="str">
            <v>STAL + ARMAFLEX</v>
          </cell>
          <cell r="F57">
            <v>127</v>
          </cell>
        </row>
        <row r="58">
          <cell r="C58" t="str">
            <v>STAL + ARMAFLEX</v>
          </cell>
          <cell r="F58">
            <v>133</v>
          </cell>
        </row>
        <row r="59">
          <cell r="C59" t="str">
            <v>STAL + ARMAFLEX</v>
          </cell>
          <cell r="F59">
            <v>139.69999999999999</v>
          </cell>
        </row>
        <row r="60">
          <cell r="C60" t="str">
            <v>STAL + ARMAFLEX</v>
          </cell>
          <cell r="F60">
            <v>152.4</v>
          </cell>
        </row>
        <row r="61">
          <cell r="C61" t="str">
            <v>STAL + ARMAFLEX</v>
          </cell>
          <cell r="F61">
            <v>159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FF00"/>
  </sheetPr>
  <dimension ref="A8:T31"/>
  <sheetViews>
    <sheetView showGridLines="0" zoomScale="70" zoomScaleNormal="70" workbookViewId="0">
      <selection activeCell="C26" sqref="C26:R26"/>
    </sheetView>
  </sheetViews>
  <sheetFormatPr defaultColWidth="0" defaultRowHeight="15" x14ac:dyDescent="0.25"/>
  <cols>
    <col min="1" max="20" width="9.140625" customWidth="1"/>
    <col min="21" max="16384" width="9.140625" hidden="1"/>
  </cols>
  <sheetData>
    <row r="8" spans="3:18" ht="23.45" x14ac:dyDescent="0.3">
      <c r="C8" s="186" t="s">
        <v>225</v>
      </c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</row>
    <row r="9" spans="3:18" ht="19.5" hidden="1" customHeight="1" x14ac:dyDescent="0.3">
      <c r="C9" s="185" t="s">
        <v>9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</row>
    <row r="10" spans="3:18" ht="18" hidden="1" x14ac:dyDescent="0.3">
      <c r="C10" s="185" t="s">
        <v>20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</row>
    <row r="11" spans="3:18" ht="18" hidden="1" x14ac:dyDescent="0.3">
      <c r="C11" s="185" t="s">
        <v>34</v>
      </c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</row>
    <row r="13" spans="3:18" ht="23.45" x14ac:dyDescent="0.3">
      <c r="C13" s="184" t="s">
        <v>226</v>
      </c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</row>
    <row r="14" spans="3:18" ht="18" hidden="1" x14ac:dyDescent="0.3">
      <c r="C14" s="181" t="s">
        <v>47</v>
      </c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</row>
    <row r="15" spans="3:18" ht="18" hidden="1" x14ac:dyDescent="0.3">
      <c r="C15" s="181" t="s">
        <v>210</v>
      </c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</row>
    <row r="16" spans="3:18" ht="18" hidden="1" x14ac:dyDescent="0.3">
      <c r="C16" s="181" t="s">
        <v>69</v>
      </c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</row>
    <row r="17" spans="3:18" ht="18" hidden="1" x14ac:dyDescent="0.3">
      <c r="C17" s="180" t="s">
        <v>215</v>
      </c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</row>
    <row r="18" spans="3:18" ht="18" x14ac:dyDescent="0.3">
      <c r="C18" s="170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</row>
    <row r="19" spans="3:18" ht="23.45" x14ac:dyDescent="0.3">
      <c r="C19" s="184" t="s">
        <v>267</v>
      </c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</row>
    <row r="21" spans="3:18" ht="23.25" x14ac:dyDescent="0.25">
      <c r="C21" s="187" t="s">
        <v>227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</row>
    <row r="22" spans="3:18" ht="18" hidden="1" x14ac:dyDescent="0.3">
      <c r="C22" s="182" t="s">
        <v>47</v>
      </c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</row>
    <row r="23" spans="3:18" ht="18" hidden="1" x14ac:dyDescent="0.3">
      <c r="C23" s="182" t="s">
        <v>210</v>
      </c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</row>
    <row r="24" spans="3:18" ht="18" hidden="1" x14ac:dyDescent="0.3">
      <c r="C24" s="182" t="s">
        <v>172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</row>
    <row r="26" spans="3:18" ht="23.45" x14ac:dyDescent="0.3">
      <c r="C26" s="183" t="s">
        <v>228</v>
      </c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</row>
    <row r="27" spans="3:18" ht="18" hidden="1" x14ac:dyDescent="0.3">
      <c r="C27" s="179" t="s">
        <v>118</v>
      </c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</row>
    <row r="28" spans="3:18" ht="18" hidden="1" x14ac:dyDescent="0.3">
      <c r="C28" s="179" t="s">
        <v>127</v>
      </c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</row>
    <row r="29" spans="3:18" ht="18" hidden="1" x14ac:dyDescent="0.3">
      <c r="C29" s="179" t="s">
        <v>137</v>
      </c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</row>
    <row r="30" spans="3:18" ht="18" hidden="1" x14ac:dyDescent="0.3">
      <c r="C30" s="179" t="s">
        <v>140</v>
      </c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</row>
    <row r="31" spans="3:18" ht="18" hidden="1" x14ac:dyDescent="0.3">
      <c r="C31" s="179" t="s">
        <v>220</v>
      </c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</row>
  </sheetData>
  <mergeCells count="20">
    <mergeCell ref="C10:R10"/>
    <mergeCell ref="C11:R11"/>
    <mergeCell ref="C8:R8"/>
    <mergeCell ref="C13:R13"/>
    <mergeCell ref="C21:R21"/>
    <mergeCell ref="C14:R14"/>
    <mergeCell ref="C15:R15"/>
    <mergeCell ref="C16:R16"/>
    <mergeCell ref="C9:R9"/>
    <mergeCell ref="C31:R31"/>
    <mergeCell ref="C17:R17"/>
    <mergeCell ref="C22:R22"/>
    <mergeCell ref="C23:R23"/>
    <mergeCell ref="C24:R24"/>
    <mergeCell ref="C26:R26"/>
    <mergeCell ref="C27:R27"/>
    <mergeCell ref="C28:R28"/>
    <mergeCell ref="C29:R29"/>
    <mergeCell ref="C30:R30"/>
    <mergeCell ref="C19:R19"/>
  </mergeCells>
  <hyperlinks>
    <hyperlink ref="C8:R8" location="'RURY PALNE'!A1" display="RURY PALNE"/>
    <hyperlink ref="C8:R11" location="'RURY PALNE'!A1" display="RURY PALNE"/>
    <hyperlink ref="C13:R17" location="'RURY NIEPALNE'!A1" display="RURY NIEPALNE"/>
    <hyperlink ref="C21:R24" location="'KABLE, WIĄZKI, KORYTA '!A1" display="KABLE, WIĄZKI, KORYTA"/>
    <hyperlink ref="C26:R31" location="'DYLATACJE I SZCZELINY'!A1" display="DYLATACJE I SZCZELINY"/>
    <hyperlink ref="C19:R19" location="'RURY PALNE-NOWA TAŚMA'!A1" display="RURY NIEPALNE - UNIWRAP L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>
    <tabColor rgb="FF0066FF"/>
    <pageSetUpPr fitToPage="1"/>
  </sheetPr>
  <dimension ref="A7:Q223"/>
  <sheetViews>
    <sheetView showGridLines="0" zoomScale="70" zoomScaleNormal="70" workbookViewId="0">
      <selection activeCell="G213" sqref="G213"/>
    </sheetView>
  </sheetViews>
  <sheetFormatPr defaultColWidth="0" defaultRowHeight="14.1" customHeight="1" x14ac:dyDescent="0.2"/>
  <cols>
    <col min="1" max="1" width="7.5703125" style="23" customWidth="1"/>
    <col min="2" max="2" width="12.28515625" style="2" customWidth="1"/>
    <col min="3" max="6" width="12.28515625" style="12" customWidth="1"/>
    <col min="7" max="7" width="12.28515625" style="2" customWidth="1"/>
    <col min="8" max="8" width="15.85546875" style="2" customWidth="1"/>
    <col min="9" max="9" width="17.5703125" style="12" customWidth="1"/>
    <col min="10" max="10" width="14.5703125" style="3" customWidth="1"/>
    <col min="11" max="11" width="11.5703125" style="23" customWidth="1"/>
    <col min="12" max="13" width="9.140625" style="23" hidden="1" customWidth="1"/>
    <col min="14" max="17" width="0" style="23" hidden="1" customWidth="1"/>
    <col min="18" max="16384" width="9.140625" style="23" hidden="1"/>
  </cols>
  <sheetData>
    <row r="7" spans="1:11" ht="15.75" customHeight="1" x14ac:dyDescent="0.25">
      <c r="B7" s="199" t="s">
        <v>40</v>
      </c>
      <c r="C7" s="199"/>
      <c r="D7" s="199"/>
      <c r="E7" s="199"/>
      <c r="F7" s="9"/>
      <c r="G7" s="9"/>
      <c r="H7" s="9"/>
      <c r="I7" s="9"/>
      <c r="J7" s="9"/>
      <c r="K7" s="9"/>
    </row>
    <row r="8" spans="1:11" ht="15.75" customHeight="1" x14ac:dyDescent="0.25">
      <c r="A8" s="58"/>
      <c r="B8" s="195" t="s">
        <v>14</v>
      </c>
      <c r="C8" s="195"/>
      <c r="D8" s="195"/>
      <c r="E8" s="195"/>
      <c r="F8" s="9"/>
      <c r="G8" s="9"/>
      <c r="H8" s="127"/>
      <c r="I8" s="172" t="s">
        <v>5</v>
      </c>
      <c r="J8" s="172" t="s">
        <v>41</v>
      </c>
      <c r="K8" s="9"/>
    </row>
    <row r="9" spans="1:11" ht="15.75" customHeight="1" x14ac:dyDescent="0.25">
      <c r="A9" s="58"/>
      <c r="B9" s="195" t="s">
        <v>274</v>
      </c>
      <c r="C9" s="195"/>
      <c r="D9" s="195"/>
      <c r="E9" s="195"/>
      <c r="F9" s="9"/>
      <c r="G9" s="197" t="s">
        <v>14</v>
      </c>
      <c r="H9" s="198"/>
      <c r="I9" s="174">
        <f>$I$39</f>
        <v>0</v>
      </c>
      <c r="J9" s="175">
        <f>$I$38</f>
        <v>0</v>
      </c>
      <c r="K9" s="9"/>
    </row>
    <row r="10" spans="1:11" ht="15.75" customHeight="1" x14ac:dyDescent="0.2">
      <c r="B10" s="195" t="s">
        <v>15</v>
      </c>
      <c r="C10" s="195"/>
      <c r="D10" s="195"/>
      <c r="E10" s="195"/>
      <c r="F10" s="9"/>
      <c r="G10" s="197" t="s">
        <v>274</v>
      </c>
      <c r="H10" s="198"/>
      <c r="I10" s="174">
        <f>I61</f>
        <v>0</v>
      </c>
      <c r="J10" s="175">
        <f>I60</f>
        <v>0</v>
      </c>
      <c r="K10" s="9"/>
    </row>
    <row r="11" spans="1:11" ht="15.75" customHeight="1" x14ac:dyDescent="0.2">
      <c r="B11" s="195" t="s">
        <v>81</v>
      </c>
      <c r="C11" s="195"/>
      <c r="D11" s="195"/>
      <c r="E11" s="195"/>
      <c r="F11" s="9"/>
      <c r="G11" s="197" t="s">
        <v>43</v>
      </c>
      <c r="H11" s="198"/>
      <c r="I11" s="174">
        <f>$J$113+$J$135</f>
        <v>0</v>
      </c>
      <c r="J11" s="175">
        <f>$J$112+$J$134</f>
        <v>0</v>
      </c>
      <c r="K11" s="9"/>
    </row>
    <row r="12" spans="1:11" ht="15.75" customHeight="1" x14ac:dyDescent="0.2">
      <c r="B12" s="195" t="s">
        <v>82</v>
      </c>
      <c r="C12" s="195"/>
      <c r="D12" s="195"/>
      <c r="E12" s="195"/>
      <c r="F12" s="9"/>
      <c r="G12" s="197" t="s">
        <v>42</v>
      </c>
      <c r="H12" s="198"/>
      <c r="I12" s="174">
        <f>$J$89+$J$155+$J$175</f>
        <v>0</v>
      </c>
      <c r="J12" s="175">
        <f>$J$88+$J$154+$J$174</f>
        <v>0</v>
      </c>
      <c r="K12" s="9"/>
    </row>
    <row r="13" spans="1:11" ht="15.75" customHeight="1" x14ac:dyDescent="0.25">
      <c r="B13" s="195" t="s">
        <v>83</v>
      </c>
      <c r="C13" s="195"/>
      <c r="D13" s="195"/>
      <c r="E13" s="195"/>
      <c r="F13" s="9"/>
      <c r="G13" s="197" t="s">
        <v>39</v>
      </c>
      <c r="H13" s="198"/>
      <c r="I13" s="174">
        <f>$I$203+$I$223</f>
        <v>0</v>
      </c>
      <c r="J13" s="175">
        <f>$I$202+$I$222</f>
        <v>0</v>
      </c>
      <c r="K13" s="9"/>
    </row>
    <row r="14" spans="1:11" ht="15.75" customHeight="1" x14ac:dyDescent="0.25">
      <c r="B14" s="195" t="s">
        <v>114</v>
      </c>
      <c r="C14" s="195"/>
      <c r="D14" s="195"/>
      <c r="E14" s="195"/>
      <c r="F14" s="9"/>
      <c r="G14" s="9"/>
      <c r="H14" s="9"/>
      <c r="I14" s="173" t="s">
        <v>12</v>
      </c>
      <c r="J14" s="85">
        <f>SUM(J9:J13)</f>
        <v>0</v>
      </c>
      <c r="K14" s="9"/>
    </row>
    <row r="15" spans="1:11" ht="15.75" customHeight="1" x14ac:dyDescent="0.25">
      <c r="A15" s="58"/>
      <c r="B15" s="195" t="s">
        <v>115</v>
      </c>
      <c r="C15" s="195"/>
      <c r="D15" s="195"/>
      <c r="E15" s="195"/>
      <c r="F15" s="9"/>
      <c r="G15" s="23"/>
      <c r="H15" s="23"/>
      <c r="I15" s="23"/>
      <c r="J15" s="23"/>
      <c r="K15" s="9"/>
    </row>
    <row r="16" spans="1:11" ht="15.75" customHeight="1" x14ac:dyDescent="0.25">
      <c r="B16" s="195" t="s">
        <v>39</v>
      </c>
      <c r="C16" s="195"/>
      <c r="D16" s="195"/>
      <c r="E16" s="195"/>
      <c r="F16" s="39"/>
      <c r="G16" s="23"/>
      <c r="H16" s="23"/>
      <c r="I16" s="23"/>
      <c r="J16" s="23"/>
      <c r="K16" s="9"/>
    </row>
    <row r="17" spans="1:11" ht="15.75" customHeight="1" x14ac:dyDescent="0.25">
      <c r="B17" s="195" t="s">
        <v>84</v>
      </c>
      <c r="C17" s="195"/>
      <c r="D17" s="195"/>
      <c r="E17" s="195"/>
      <c r="F17" s="201" t="s">
        <v>229</v>
      </c>
      <c r="G17" s="201"/>
      <c r="H17" s="23"/>
      <c r="I17" s="23"/>
      <c r="J17" s="23"/>
      <c r="K17" s="9"/>
    </row>
    <row r="18" spans="1:11" customFormat="1" ht="15.75" customHeight="1" x14ac:dyDescent="0.25">
      <c r="B18" s="195" t="s">
        <v>85</v>
      </c>
      <c r="C18" s="195"/>
      <c r="D18" s="195"/>
      <c r="E18" s="195"/>
    </row>
    <row r="19" spans="1:11" ht="14.1" customHeight="1" x14ac:dyDescent="0.25">
      <c r="B19" s="128"/>
      <c r="C19" s="128"/>
      <c r="D19" s="128"/>
      <c r="E19" s="127"/>
      <c r="F19" s="9"/>
      <c r="G19" s="23"/>
      <c r="H19" s="23"/>
      <c r="I19" s="23"/>
      <c r="J19" s="23"/>
      <c r="K19" s="9"/>
    </row>
    <row r="20" spans="1:11" ht="30" customHeight="1" x14ac:dyDescent="0.25">
      <c r="A20" s="193" t="s">
        <v>9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3"/>
    </row>
    <row r="21" spans="1:11" ht="14.1" customHeight="1" x14ac:dyDescent="0.25">
      <c r="B21" s="23"/>
      <c r="C21" s="2"/>
      <c r="G21" s="23"/>
      <c r="H21" s="23"/>
      <c r="I21" s="23"/>
    </row>
    <row r="22" spans="1:11" ht="14.1" customHeight="1" x14ac:dyDescent="0.2">
      <c r="B22" s="23"/>
      <c r="C22" s="2"/>
      <c r="G22" s="200" t="s">
        <v>189</v>
      </c>
      <c r="H22" s="200"/>
      <c r="I22" s="200"/>
    </row>
    <row r="23" spans="1:11" s="12" customFormat="1" ht="14.1" customHeight="1" x14ac:dyDescent="0.3">
      <c r="C23" s="2"/>
      <c r="G23" s="13" t="s">
        <v>44</v>
      </c>
      <c r="H23" s="13"/>
      <c r="I23" s="13"/>
      <c r="J23" s="2"/>
    </row>
    <row r="24" spans="1:11" s="12" customFormat="1" ht="14.1" customHeight="1" x14ac:dyDescent="0.3">
      <c r="C24" s="2"/>
      <c r="F24" s="13"/>
      <c r="G24" s="13" t="s">
        <v>10</v>
      </c>
      <c r="H24" s="13"/>
      <c r="I24" s="13"/>
    </row>
    <row r="25" spans="1:11" s="12" customFormat="1" ht="14.1" customHeight="1" x14ac:dyDescent="0.3">
      <c r="C25" s="2"/>
      <c r="F25" s="120"/>
      <c r="G25" s="13" t="s">
        <v>11</v>
      </c>
      <c r="H25" s="13"/>
      <c r="I25" s="13"/>
    </row>
    <row r="26" spans="1:11" s="12" customFormat="1" ht="14.1" customHeight="1" x14ac:dyDescent="0.3">
      <c r="C26" s="2"/>
      <c r="F26" s="13"/>
      <c r="G26" s="13"/>
      <c r="H26" s="13"/>
      <c r="I26" s="13"/>
    </row>
    <row r="27" spans="1:11" s="12" customFormat="1" ht="20.100000000000001" customHeight="1" x14ac:dyDescent="0.25">
      <c r="C27" s="194" t="s">
        <v>8</v>
      </c>
      <c r="D27" s="194"/>
      <c r="E27" s="194"/>
      <c r="F27" s="194"/>
      <c r="G27" s="194"/>
      <c r="H27" s="194"/>
      <c r="I27" s="194"/>
    </row>
    <row r="28" spans="1:11" ht="30.75" customHeight="1" x14ac:dyDescent="0.2">
      <c r="B28" s="23"/>
      <c r="C28" s="189" t="s">
        <v>5</v>
      </c>
      <c r="D28" s="189" t="s">
        <v>0</v>
      </c>
      <c r="E28" s="189" t="s">
        <v>6</v>
      </c>
      <c r="F28" s="189"/>
      <c r="G28" s="189"/>
      <c r="H28" s="189"/>
      <c r="I28" s="189" t="s">
        <v>7</v>
      </c>
    </row>
    <row r="29" spans="1:11" ht="12.75" x14ac:dyDescent="0.2">
      <c r="B29" s="23"/>
      <c r="C29" s="189"/>
      <c r="D29" s="189"/>
      <c r="E29" s="78" t="s">
        <v>1</v>
      </c>
      <c r="F29" s="78" t="s">
        <v>2</v>
      </c>
      <c r="G29" s="78" t="s">
        <v>3</v>
      </c>
      <c r="H29" s="78" t="s">
        <v>4</v>
      </c>
      <c r="I29" s="189"/>
    </row>
    <row r="30" spans="1:11" ht="14.1" customHeight="1" x14ac:dyDescent="0.25">
      <c r="B30" s="23"/>
      <c r="C30" s="109">
        <v>0</v>
      </c>
      <c r="D30" s="5">
        <v>55</v>
      </c>
      <c r="E30" s="5">
        <v>1</v>
      </c>
      <c r="F30" s="79">
        <v>43.5</v>
      </c>
      <c r="G30" s="110">
        <v>0</v>
      </c>
      <c r="H30" s="79">
        <f>F30*(1-G30)*E30</f>
        <v>43.5</v>
      </c>
      <c r="I30" s="79">
        <f>C30*H30</f>
        <v>0</v>
      </c>
    </row>
    <row r="31" spans="1:11" ht="14.1" customHeight="1" x14ac:dyDescent="0.25">
      <c r="B31" s="23"/>
      <c r="C31" s="109">
        <v>0</v>
      </c>
      <c r="D31" s="5">
        <v>82</v>
      </c>
      <c r="E31" s="5">
        <v>1</v>
      </c>
      <c r="F31" s="79">
        <v>72</v>
      </c>
      <c r="G31" s="16">
        <f t="shared" ref="G31:G37" si="0">$G$30</f>
        <v>0</v>
      </c>
      <c r="H31" s="79">
        <f t="shared" ref="H31:H37" si="1">F31*(1-G31)*E31</f>
        <v>72</v>
      </c>
      <c r="I31" s="79">
        <f t="shared" ref="I31:I37" si="2">C31*H31</f>
        <v>0</v>
      </c>
    </row>
    <row r="32" spans="1:11" ht="14.1" customHeight="1" x14ac:dyDescent="0.25">
      <c r="B32" s="23"/>
      <c r="C32" s="109">
        <v>0</v>
      </c>
      <c r="D32" s="5">
        <v>110</v>
      </c>
      <c r="E32" s="5">
        <v>1</v>
      </c>
      <c r="F32" s="79">
        <v>96</v>
      </c>
      <c r="G32" s="16">
        <f t="shared" si="0"/>
        <v>0</v>
      </c>
      <c r="H32" s="79">
        <f t="shared" si="1"/>
        <v>96</v>
      </c>
      <c r="I32" s="79">
        <f t="shared" si="2"/>
        <v>0</v>
      </c>
    </row>
    <row r="33" spans="1:11" ht="14.1" customHeight="1" x14ac:dyDescent="0.25">
      <c r="B33" s="23"/>
      <c r="C33" s="109">
        <v>0</v>
      </c>
      <c r="D33" s="5">
        <v>125</v>
      </c>
      <c r="E33" s="5">
        <v>1</v>
      </c>
      <c r="F33" s="79">
        <v>126</v>
      </c>
      <c r="G33" s="16">
        <f t="shared" si="0"/>
        <v>0</v>
      </c>
      <c r="H33" s="79">
        <f t="shared" si="1"/>
        <v>126</v>
      </c>
      <c r="I33" s="79">
        <f t="shared" si="2"/>
        <v>0</v>
      </c>
    </row>
    <row r="34" spans="1:11" ht="14.1" customHeight="1" x14ac:dyDescent="0.25">
      <c r="B34" s="23"/>
      <c r="C34" s="109">
        <v>0</v>
      </c>
      <c r="D34" s="5">
        <v>160</v>
      </c>
      <c r="E34" s="5">
        <v>1</v>
      </c>
      <c r="F34" s="79">
        <v>168</v>
      </c>
      <c r="G34" s="16">
        <f t="shared" si="0"/>
        <v>0</v>
      </c>
      <c r="H34" s="79">
        <f t="shared" si="1"/>
        <v>168</v>
      </c>
      <c r="I34" s="79">
        <f t="shared" si="2"/>
        <v>0</v>
      </c>
    </row>
    <row r="35" spans="1:11" ht="14.1" customHeight="1" x14ac:dyDescent="0.25">
      <c r="B35" s="23"/>
      <c r="C35" s="109">
        <v>0</v>
      </c>
      <c r="D35" s="5">
        <v>200</v>
      </c>
      <c r="E35" s="5">
        <v>1</v>
      </c>
      <c r="F35" s="79">
        <v>450</v>
      </c>
      <c r="G35" s="16">
        <f t="shared" si="0"/>
        <v>0</v>
      </c>
      <c r="H35" s="79">
        <f t="shared" si="1"/>
        <v>450</v>
      </c>
      <c r="I35" s="79">
        <f t="shared" si="2"/>
        <v>0</v>
      </c>
    </row>
    <row r="36" spans="1:11" ht="14.1" customHeight="1" x14ac:dyDescent="0.25">
      <c r="B36" s="23"/>
      <c r="C36" s="109">
        <v>0</v>
      </c>
      <c r="D36" s="5">
        <v>250</v>
      </c>
      <c r="E36" s="5">
        <v>1</v>
      </c>
      <c r="F36" s="79">
        <v>590</v>
      </c>
      <c r="G36" s="16">
        <f t="shared" si="0"/>
        <v>0</v>
      </c>
      <c r="H36" s="79">
        <f t="shared" si="1"/>
        <v>590</v>
      </c>
      <c r="I36" s="79">
        <f t="shared" si="2"/>
        <v>0</v>
      </c>
    </row>
    <row r="37" spans="1:11" ht="14.1" customHeight="1" x14ac:dyDescent="0.25">
      <c r="B37" s="23"/>
      <c r="C37" s="109">
        <v>0</v>
      </c>
      <c r="D37" s="5">
        <v>315</v>
      </c>
      <c r="E37" s="5">
        <v>1</v>
      </c>
      <c r="F37" s="79">
        <v>990</v>
      </c>
      <c r="G37" s="16">
        <f t="shared" si="0"/>
        <v>0</v>
      </c>
      <c r="H37" s="79">
        <f t="shared" si="1"/>
        <v>990</v>
      </c>
      <c r="I37" s="79">
        <f t="shared" si="2"/>
        <v>0</v>
      </c>
    </row>
    <row r="38" spans="1:11" s="3" customFormat="1" ht="14.1" customHeight="1" x14ac:dyDescent="0.25">
      <c r="G38" s="196" t="s">
        <v>12</v>
      </c>
      <c r="H38" s="196"/>
      <c r="I38" s="41">
        <f>SUM($I$30:$I$37)</f>
        <v>0</v>
      </c>
    </row>
    <row r="39" spans="1:11" s="3" customFormat="1" ht="14.1" customHeight="1" x14ac:dyDescent="0.2">
      <c r="G39" s="196" t="s">
        <v>13</v>
      </c>
      <c r="H39" s="196"/>
      <c r="I39" s="42">
        <f>SUM($C$30:$C$37)</f>
        <v>0</v>
      </c>
    </row>
    <row r="40" spans="1:11" ht="14.1" customHeight="1" x14ac:dyDescent="0.2">
      <c r="B40" s="188" t="s">
        <v>224</v>
      </c>
      <c r="C40" s="188"/>
      <c r="D40" s="188"/>
    </row>
    <row r="42" spans="1:11" s="127" customFormat="1" ht="30" customHeight="1" x14ac:dyDescent="0.2">
      <c r="A42" s="193" t="s">
        <v>273</v>
      </c>
      <c r="B42" s="193"/>
      <c r="C42" s="193"/>
      <c r="D42" s="193"/>
      <c r="E42" s="193"/>
      <c r="F42" s="193"/>
      <c r="G42" s="193"/>
      <c r="H42" s="193"/>
      <c r="I42" s="193"/>
      <c r="J42" s="193"/>
      <c r="K42" s="193"/>
    </row>
    <row r="43" spans="1:11" s="127" customFormat="1" ht="14.1" customHeight="1" x14ac:dyDescent="0.2">
      <c r="C43" s="2"/>
      <c r="D43" s="128"/>
      <c r="E43" s="128"/>
      <c r="F43" s="128"/>
      <c r="J43" s="3"/>
    </row>
    <row r="44" spans="1:11" s="127" customFormat="1" ht="14.1" customHeight="1" x14ac:dyDescent="0.2">
      <c r="C44" s="2"/>
      <c r="D44" s="128"/>
      <c r="E44" s="128"/>
      <c r="F44" s="128"/>
      <c r="G44" s="200" t="s">
        <v>189</v>
      </c>
      <c r="H44" s="200"/>
      <c r="I44" s="200"/>
      <c r="J44" s="3"/>
    </row>
    <row r="45" spans="1:11" s="128" customFormat="1" ht="14.1" customHeight="1" x14ac:dyDescent="0.25">
      <c r="C45" s="2"/>
      <c r="G45" s="129" t="s">
        <v>44</v>
      </c>
      <c r="H45" s="129"/>
      <c r="I45" s="129"/>
      <c r="J45" s="2"/>
    </row>
    <row r="46" spans="1:11" s="128" customFormat="1" ht="14.1" customHeight="1" x14ac:dyDescent="0.25">
      <c r="C46" s="2"/>
      <c r="F46" s="129"/>
      <c r="G46" s="129" t="s">
        <v>10</v>
      </c>
      <c r="H46" s="129"/>
      <c r="I46" s="129"/>
    </row>
    <row r="47" spans="1:11" s="128" customFormat="1" ht="14.1" customHeight="1" x14ac:dyDescent="0.25">
      <c r="C47" s="2"/>
      <c r="F47" s="129"/>
      <c r="G47" s="129" t="s">
        <v>11</v>
      </c>
      <c r="H47" s="129"/>
      <c r="I47" s="129"/>
    </row>
    <row r="48" spans="1:11" s="128" customFormat="1" ht="14.1" customHeight="1" x14ac:dyDescent="0.25">
      <c r="C48" s="2"/>
      <c r="F48" s="129"/>
      <c r="G48" s="129"/>
      <c r="H48" s="129"/>
      <c r="I48" s="129"/>
    </row>
    <row r="49" spans="1:11" s="128" customFormat="1" ht="20.100000000000001" customHeight="1" x14ac:dyDescent="0.25">
      <c r="C49" s="194" t="s">
        <v>275</v>
      </c>
      <c r="D49" s="194"/>
      <c r="E49" s="194"/>
      <c r="F49" s="194"/>
      <c r="G49" s="194"/>
      <c r="H49" s="194"/>
      <c r="I49" s="194"/>
    </row>
    <row r="50" spans="1:11" s="127" customFormat="1" ht="30.75" customHeight="1" x14ac:dyDescent="0.2">
      <c r="C50" s="189" t="s">
        <v>5</v>
      </c>
      <c r="D50" s="189" t="s">
        <v>0</v>
      </c>
      <c r="E50" s="189" t="s">
        <v>6</v>
      </c>
      <c r="F50" s="189"/>
      <c r="G50" s="189"/>
      <c r="H50" s="189"/>
      <c r="I50" s="189" t="s">
        <v>7</v>
      </c>
      <c r="J50" s="3"/>
    </row>
    <row r="51" spans="1:11" s="127" customFormat="1" ht="12.75" x14ac:dyDescent="0.2">
      <c r="C51" s="189"/>
      <c r="D51" s="189"/>
      <c r="E51" s="126" t="s">
        <v>1</v>
      </c>
      <c r="F51" s="126" t="s">
        <v>2</v>
      </c>
      <c r="G51" s="126" t="s">
        <v>3</v>
      </c>
      <c r="H51" s="126" t="s">
        <v>4</v>
      </c>
      <c r="I51" s="189"/>
      <c r="J51" s="3"/>
    </row>
    <row r="52" spans="1:11" s="127" customFormat="1" ht="14.1" customHeight="1" x14ac:dyDescent="0.2">
      <c r="C52" s="109">
        <v>0</v>
      </c>
      <c r="D52" s="5">
        <v>32</v>
      </c>
      <c r="E52" s="5">
        <v>1</v>
      </c>
      <c r="F52" s="79">
        <v>41.5</v>
      </c>
      <c r="G52" s="110">
        <v>0</v>
      </c>
      <c r="H52" s="79">
        <f>F52*(1-G52)*E52</f>
        <v>41.5</v>
      </c>
      <c r="I52" s="79">
        <f>C52*H52</f>
        <v>0</v>
      </c>
      <c r="J52" s="3"/>
    </row>
    <row r="53" spans="1:11" s="127" customFormat="1" ht="14.1" customHeight="1" x14ac:dyDescent="0.2">
      <c r="C53" s="109">
        <v>0</v>
      </c>
      <c r="D53" s="5">
        <v>40</v>
      </c>
      <c r="E53" s="5">
        <v>1</v>
      </c>
      <c r="F53" s="79">
        <v>41.5</v>
      </c>
      <c r="G53" s="16">
        <f>$G$52</f>
        <v>0</v>
      </c>
      <c r="H53" s="79">
        <f t="shared" ref="H53:H59" si="3">F53*(1-G53)*E53</f>
        <v>41.5</v>
      </c>
      <c r="I53" s="79">
        <f t="shared" ref="I53:I59" si="4">C53*H53</f>
        <v>0</v>
      </c>
      <c r="J53" s="3"/>
    </row>
    <row r="54" spans="1:11" s="127" customFormat="1" ht="14.1" customHeight="1" x14ac:dyDescent="0.2">
      <c r="C54" s="109">
        <v>0</v>
      </c>
      <c r="D54" s="5">
        <v>55</v>
      </c>
      <c r="E54" s="5">
        <v>1</v>
      </c>
      <c r="F54" s="79">
        <v>43.5</v>
      </c>
      <c r="G54" s="16">
        <f t="shared" ref="G54:G59" si="5">$G$52</f>
        <v>0</v>
      </c>
      <c r="H54" s="79">
        <f t="shared" si="3"/>
        <v>43.5</v>
      </c>
      <c r="I54" s="79">
        <f t="shared" si="4"/>
        <v>0</v>
      </c>
      <c r="J54" s="3"/>
    </row>
    <row r="55" spans="1:11" s="127" customFormat="1" ht="14.1" customHeight="1" x14ac:dyDescent="0.2">
      <c r="C55" s="109">
        <v>0</v>
      </c>
      <c r="D55" s="5">
        <v>75</v>
      </c>
      <c r="E55" s="5">
        <v>1</v>
      </c>
      <c r="F55" s="79">
        <v>70</v>
      </c>
      <c r="G55" s="16">
        <f t="shared" si="5"/>
        <v>0</v>
      </c>
      <c r="H55" s="79">
        <f t="shared" si="3"/>
        <v>70</v>
      </c>
      <c r="I55" s="79">
        <f t="shared" si="4"/>
        <v>0</v>
      </c>
      <c r="J55" s="3"/>
    </row>
    <row r="56" spans="1:11" s="127" customFormat="1" ht="14.1" customHeight="1" x14ac:dyDescent="0.2">
      <c r="C56" s="109">
        <v>0</v>
      </c>
      <c r="D56" s="5">
        <v>110</v>
      </c>
      <c r="E56" s="5">
        <v>1</v>
      </c>
      <c r="F56" s="79">
        <v>94</v>
      </c>
      <c r="G56" s="16">
        <f t="shared" si="5"/>
        <v>0</v>
      </c>
      <c r="H56" s="79">
        <f t="shared" si="3"/>
        <v>94</v>
      </c>
      <c r="I56" s="79">
        <f t="shared" si="4"/>
        <v>0</v>
      </c>
      <c r="J56" s="3"/>
    </row>
    <row r="57" spans="1:11" s="127" customFormat="1" ht="14.1" customHeight="1" x14ac:dyDescent="0.2">
      <c r="C57" s="109">
        <v>0</v>
      </c>
      <c r="D57" s="5">
        <v>125</v>
      </c>
      <c r="E57" s="5">
        <v>1</v>
      </c>
      <c r="F57" s="79">
        <v>120</v>
      </c>
      <c r="G57" s="16">
        <f t="shared" si="5"/>
        <v>0</v>
      </c>
      <c r="H57" s="79">
        <f t="shared" si="3"/>
        <v>120</v>
      </c>
      <c r="I57" s="79">
        <f t="shared" si="4"/>
        <v>0</v>
      </c>
      <c r="J57" s="3"/>
    </row>
    <row r="58" spans="1:11" s="127" customFormat="1" ht="14.1" customHeight="1" x14ac:dyDescent="0.2">
      <c r="C58" s="109">
        <v>0</v>
      </c>
      <c r="D58" s="5">
        <v>160</v>
      </c>
      <c r="E58" s="5">
        <v>1</v>
      </c>
      <c r="F58" s="79">
        <v>168</v>
      </c>
      <c r="G58" s="16">
        <f t="shared" si="5"/>
        <v>0</v>
      </c>
      <c r="H58" s="79">
        <f t="shared" si="3"/>
        <v>168</v>
      </c>
      <c r="I58" s="79">
        <f t="shared" si="4"/>
        <v>0</v>
      </c>
      <c r="J58" s="3"/>
    </row>
    <row r="59" spans="1:11" s="127" customFormat="1" ht="14.1" customHeight="1" x14ac:dyDescent="0.2">
      <c r="C59" s="109">
        <v>0</v>
      </c>
      <c r="D59" s="5">
        <v>200</v>
      </c>
      <c r="E59" s="5">
        <v>1</v>
      </c>
      <c r="F59" s="79">
        <v>420</v>
      </c>
      <c r="G59" s="16">
        <f t="shared" si="5"/>
        <v>0</v>
      </c>
      <c r="H59" s="79">
        <f t="shared" si="3"/>
        <v>420</v>
      </c>
      <c r="I59" s="79">
        <f t="shared" si="4"/>
        <v>0</v>
      </c>
      <c r="J59" s="3"/>
    </row>
    <row r="60" spans="1:11" s="3" customFormat="1" ht="14.1" customHeight="1" x14ac:dyDescent="0.2">
      <c r="G60" s="196" t="s">
        <v>12</v>
      </c>
      <c r="H60" s="196"/>
      <c r="I60" s="41">
        <f>SUM($I$52:$I$59)</f>
        <v>0</v>
      </c>
    </row>
    <row r="61" spans="1:11" s="3" customFormat="1" ht="14.1" customHeight="1" x14ac:dyDescent="0.2">
      <c r="G61" s="196" t="s">
        <v>13</v>
      </c>
      <c r="H61" s="196"/>
      <c r="I61" s="42">
        <f>SUM($C$52:$C$59)</f>
        <v>0</v>
      </c>
    </row>
    <row r="62" spans="1:11" s="127" customFormat="1" ht="14.1" customHeight="1" x14ac:dyDescent="0.2">
      <c r="B62" s="188" t="s">
        <v>224</v>
      </c>
      <c r="C62" s="188"/>
      <c r="D62" s="188"/>
      <c r="E62" s="128"/>
      <c r="F62" s="128"/>
      <c r="G62" s="2"/>
      <c r="H62" s="2"/>
      <c r="I62" s="128"/>
      <c r="J62" s="3"/>
    </row>
    <row r="63" spans="1:11" s="127" customFormat="1" ht="14.1" customHeight="1" x14ac:dyDescent="0.2">
      <c r="B63" s="2"/>
      <c r="C63" s="128"/>
      <c r="D63" s="128"/>
      <c r="E63" s="128"/>
      <c r="F63" s="128"/>
      <c r="G63" s="2"/>
      <c r="H63" s="2"/>
      <c r="I63" s="128"/>
      <c r="J63" s="3"/>
    </row>
    <row r="64" spans="1:11" ht="30" customHeight="1" x14ac:dyDescent="0.2">
      <c r="A64" s="193" t="s">
        <v>20</v>
      </c>
      <c r="B64" s="193"/>
      <c r="C64" s="193"/>
      <c r="D64" s="193"/>
      <c r="E64" s="193"/>
      <c r="F64" s="193"/>
      <c r="G64" s="193"/>
      <c r="H64" s="193"/>
      <c r="I64" s="193"/>
      <c r="J64" s="193"/>
      <c r="K64" s="193"/>
    </row>
    <row r="65" spans="1:10" ht="14.1" customHeight="1" x14ac:dyDescent="0.2">
      <c r="G65" s="23"/>
      <c r="H65" s="23"/>
      <c r="I65" s="23"/>
    </row>
    <row r="66" spans="1:10" ht="14.1" customHeight="1" x14ac:dyDescent="0.2">
      <c r="G66" s="192" t="s">
        <v>23</v>
      </c>
      <c r="H66" s="192"/>
      <c r="I66" s="192"/>
    </row>
    <row r="67" spans="1:10" ht="14.1" customHeight="1" x14ac:dyDescent="0.2">
      <c r="B67" s="3"/>
      <c r="C67" s="23"/>
      <c r="D67" s="23"/>
      <c r="F67" s="23"/>
      <c r="G67" s="56" t="s">
        <v>22</v>
      </c>
      <c r="H67" s="56"/>
      <c r="I67" s="56"/>
    </row>
    <row r="68" spans="1:10" ht="14.1" customHeight="1" x14ac:dyDescent="0.2">
      <c r="B68" s="3"/>
      <c r="C68" s="23"/>
      <c r="D68" s="23"/>
      <c r="F68" s="23"/>
      <c r="G68" s="56" t="s">
        <v>10</v>
      </c>
      <c r="H68" s="56"/>
      <c r="I68" s="56"/>
    </row>
    <row r="69" spans="1:10" ht="14.1" customHeight="1" x14ac:dyDescent="0.2">
      <c r="B69" s="3"/>
      <c r="C69" s="23"/>
      <c r="D69" s="23"/>
      <c r="F69" s="23"/>
      <c r="G69" s="56" t="s">
        <v>24</v>
      </c>
      <c r="H69" s="56"/>
      <c r="I69" s="56"/>
    </row>
    <row r="70" spans="1:10" ht="14.1" customHeight="1" x14ac:dyDescent="0.2">
      <c r="B70" s="3"/>
      <c r="C70" s="23"/>
      <c r="D70" s="23"/>
      <c r="F70" s="23"/>
      <c r="G70" s="56" t="s">
        <v>28</v>
      </c>
      <c r="H70" s="56"/>
      <c r="I70" s="56"/>
    </row>
    <row r="71" spans="1:10" ht="14.1" customHeight="1" x14ac:dyDescent="0.2">
      <c r="B71" s="3"/>
      <c r="C71" s="23"/>
      <c r="D71" s="23"/>
      <c r="F71" s="23"/>
      <c r="G71" s="23"/>
      <c r="H71" s="23"/>
      <c r="I71" s="23"/>
    </row>
    <row r="72" spans="1:10" ht="20.100000000000001" customHeight="1" x14ac:dyDescent="0.2">
      <c r="B72" s="194" t="s">
        <v>18</v>
      </c>
      <c r="C72" s="194"/>
      <c r="D72" s="194"/>
      <c r="E72" s="194"/>
      <c r="F72" s="194"/>
      <c r="G72" s="194"/>
      <c r="H72" s="194"/>
      <c r="I72" s="194"/>
      <c r="J72" s="194"/>
    </row>
    <row r="73" spans="1:10" ht="30" customHeight="1" x14ac:dyDescent="0.2">
      <c r="B73" s="189" t="s">
        <v>5</v>
      </c>
      <c r="C73" s="189" t="s">
        <v>19</v>
      </c>
      <c r="D73" s="189" t="s">
        <v>17</v>
      </c>
      <c r="E73" s="189"/>
      <c r="F73" s="189"/>
      <c r="G73" s="189"/>
      <c r="H73" s="189"/>
      <c r="I73" s="189" t="s">
        <v>25</v>
      </c>
      <c r="J73" s="189" t="s">
        <v>26</v>
      </c>
    </row>
    <row r="74" spans="1:10" ht="14.1" customHeight="1" x14ac:dyDescent="0.2">
      <c r="B74" s="189"/>
      <c r="C74" s="189"/>
      <c r="D74" s="78" t="s">
        <v>21</v>
      </c>
      <c r="E74" s="78" t="s">
        <v>1</v>
      </c>
      <c r="F74" s="78" t="s">
        <v>2</v>
      </c>
      <c r="G74" s="78" t="s">
        <v>3</v>
      </c>
      <c r="H74" s="78" t="s">
        <v>4</v>
      </c>
      <c r="I74" s="189"/>
      <c r="J74" s="189"/>
    </row>
    <row r="75" spans="1:10" ht="14.1" customHeight="1" x14ac:dyDescent="0.2">
      <c r="A75" s="23" t="s">
        <v>208</v>
      </c>
      <c r="B75" s="109">
        <v>0</v>
      </c>
      <c r="C75" s="5">
        <v>15</v>
      </c>
      <c r="D75" s="5">
        <v>2</v>
      </c>
      <c r="E75" s="60">
        <f>3.14*C75*D75</f>
        <v>94.2</v>
      </c>
      <c r="F75" s="79">
        <v>2400</v>
      </c>
      <c r="G75" s="111">
        <v>0</v>
      </c>
      <c r="H75" s="79">
        <f>F75-(G75*F75)</f>
        <v>2400</v>
      </c>
      <c r="I75" s="79">
        <f t="shared" ref="I75:I87" si="6">(H75*E75/25000)</f>
        <v>9.0432000000000006</v>
      </c>
      <c r="J75" s="11">
        <f t="shared" ref="J75:J87" si="7">I75*B75</f>
        <v>0</v>
      </c>
    </row>
    <row r="76" spans="1:10" ht="14.1" customHeight="1" x14ac:dyDescent="0.2">
      <c r="A76" s="89" t="s">
        <v>208</v>
      </c>
      <c r="B76" s="109">
        <v>0</v>
      </c>
      <c r="C76" s="5">
        <v>20</v>
      </c>
      <c r="D76" s="5">
        <v>2</v>
      </c>
      <c r="E76" s="60">
        <f t="shared" ref="E76:E87" si="8">3.14*C76*D76</f>
        <v>125.60000000000001</v>
      </c>
      <c r="F76" s="79">
        <f>$F$75</f>
        <v>2400</v>
      </c>
      <c r="G76" s="82">
        <f>$G$75</f>
        <v>0</v>
      </c>
      <c r="H76" s="79">
        <f t="shared" ref="H76:H87" si="9">F76-(G76*F76)</f>
        <v>2400</v>
      </c>
      <c r="I76" s="79">
        <f t="shared" si="6"/>
        <v>12.057600000000001</v>
      </c>
      <c r="J76" s="11">
        <f t="shared" si="7"/>
        <v>0</v>
      </c>
    </row>
    <row r="77" spans="1:10" ht="14.1" customHeight="1" x14ac:dyDescent="0.2">
      <c r="A77" s="89" t="s">
        <v>208</v>
      </c>
      <c r="B77" s="109">
        <v>0</v>
      </c>
      <c r="C77" s="5">
        <v>25</v>
      </c>
      <c r="D77" s="5">
        <v>2</v>
      </c>
      <c r="E77" s="60">
        <f t="shared" si="8"/>
        <v>157</v>
      </c>
      <c r="F77" s="79">
        <f t="shared" ref="F77:F87" si="10">$F$75</f>
        <v>2400</v>
      </c>
      <c r="G77" s="82">
        <f t="shared" ref="G77:G87" si="11">$G$75</f>
        <v>0</v>
      </c>
      <c r="H77" s="79">
        <f t="shared" si="9"/>
        <v>2400</v>
      </c>
      <c r="I77" s="79">
        <f t="shared" si="6"/>
        <v>15.071999999999999</v>
      </c>
      <c r="J77" s="11">
        <f t="shared" si="7"/>
        <v>0</v>
      </c>
    </row>
    <row r="78" spans="1:10" ht="14.1" customHeight="1" x14ac:dyDescent="0.2">
      <c r="A78" s="89" t="s">
        <v>208</v>
      </c>
      <c r="B78" s="109">
        <v>0</v>
      </c>
      <c r="C78" s="5">
        <v>32</v>
      </c>
      <c r="D78" s="5">
        <v>2</v>
      </c>
      <c r="E78" s="60">
        <f t="shared" si="8"/>
        <v>200.96</v>
      </c>
      <c r="F78" s="79">
        <f t="shared" si="10"/>
        <v>2400</v>
      </c>
      <c r="G78" s="82">
        <f t="shared" si="11"/>
        <v>0</v>
      </c>
      <c r="H78" s="79">
        <f t="shared" si="9"/>
        <v>2400</v>
      </c>
      <c r="I78" s="79">
        <f t="shared" si="6"/>
        <v>19.292159999999999</v>
      </c>
      <c r="J78" s="11">
        <f t="shared" si="7"/>
        <v>0</v>
      </c>
    </row>
    <row r="79" spans="1:10" ht="14.1" customHeight="1" x14ac:dyDescent="0.2">
      <c r="A79" s="89" t="s">
        <v>208</v>
      </c>
      <c r="B79" s="109">
        <v>0</v>
      </c>
      <c r="C79" s="5">
        <v>40</v>
      </c>
      <c r="D79" s="5">
        <v>2</v>
      </c>
      <c r="E79" s="60">
        <f t="shared" si="8"/>
        <v>251.20000000000002</v>
      </c>
      <c r="F79" s="79">
        <f t="shared" si="10"/>
        <v>2400</v>
      </c>
      <c r="G79" s="82">
        <f t="shared" si="11"/>
        <v>0</v>
      </c>
      <c r="H79" s="79">
        <f t="shared" si="9"/>
        <v>2400</v>
      </c>
      <c r="I79" s="79">
        <f t="shared" si="6"/>
        <v>24.115200000000002</v>
      </c>
      <c r="J79" s="11">
        <f t="shared" si="7"/>
        <v>0</v>
      </c>
    </row>
    <row r="80" spans="1:10" ht="14.1" customHeight="1" x14ac:dyDescent="0.2">
      <c r="A80" s="89" t="s">
        <v>208</v>
      </c>
      <c r="B80" s="109">
        <v>0</v>
      </c>
      <c r="C80" s="5">
        <v>55</v>
      </c>
      <c r="D80" s="5">
        <v>2</v>
      </c>
      <c r="E80" s="60">
        <f t="shared" si="8"/>
        <v>345.40000000000003</v>
      </c>
      <c r="F80" s="79">
        <f t="shared" si="10"/>
        <v>2400</v>
      </c>
      <c r="G80" s="82">
        <f t="shared" si="11"/>
        <v>0</v>
      </c>
      <c r="H80" s="79">
        <f t="shared" si="9"/>
        <v>2400</v>
      </c>
      <c r="I80" s="79">
        <f t="shared" si="6"/>
        <v>33.158400000000007</v>
      </c>
      <c r="J80" s="11">
        <f t="shared" si="7"/>
        <v>0</v>
      </c>
    </row>
    <row r="81" spans="1:10" ht="14.1" customHeight="1" x14ac:dyDescent="0.2">
      <c r="A81" s="89" t="s">
        <v>208</v>
      </c>
      <c r="B81" s="109">
        <v>0</v>
      </c>
      <c r="C81" s="5">
        <v>63</v>
      </c>
      <c r="D81" s="5">
        <v>2</v>
      </c>
      <c r="E81" s="60">
        <f t="shared" si="8"/>
        <v>395.64000000000004</v>
      </c>
      <c r="F81" s="79">
        <f t="shared" si="10"/>
        <v>2400</v>
      </c>
      <c r="G81" s="82">
        <f t="shared" si="11"/>
        <v>0</v>
      </c>
      <c r="H81" s="79">
        <f t="shared" si="9"/>
        <v>2400</v>
      </c>
      <c r="I81" s="79">
        <f t="shared" si="6"/>
        <v>37.981440000000006</v>
      </c>
      <c r="J81" s="11">
        <f t="shared" si="7"/>
        <v>0</v>
      </c>
    </row>
    <row r="82" spans="1:10" s="89" customFormat="1" ht="14.1" customHeight="1" x14ac:dyDescent="0.2">
      <c r="A82" s="89" t="s">
        <v>208</v>
      </c>
      <c r="B82" s="109">
        <v>0</v>
      </c>
      <c r="C82" s="5">
        <v>75</v>
      </c>
      <c r="D82" s="5">
        <v>2</v>
      </c>
      <c r="E82" s="60">
        <f t="shared" ref="E82" si="12">3.14*C82*D82</f>
        <v>471</v>
      </c>
      <c r="F82" s="79">
        <f t="shared" si="10"/>
        <v>2400</v>
      </c>
      <c r="G82" s="82">
        <f t="shared" si="11"/>
        <v>0</v>
      </c>
      <c r="H82" s="79">
        <f t="shared" ref="H82" si="13">F82-(G82*F82)</f>
        <v>2400</v>
      </c>
      <c r="I82" s="79">
        <f t="shared" ref="I82" si="14">(H82*E82/25000)</f>
        <v>45.216000000000001</v>
      </c>
      <c r="J82" s="11">
        <f t="shared" ref="J82" si="15">I82*B82</f>
        <v>0</v>
      </c>
    </row>
    <row r="83" spans="1:10" ht="14.1" customHeight="1" x14ac:dyDescent="0.2">
      <c r="A83" s="3" t="s">
        <v>209</v>
      </c>
      <c r="B83" s="109">
        <v>0</v>
      </c>
      <c r="C83" s="5">
        <v>82</v>
      </c>
      <c r="D83" s="5">
        <v>2</v>
      </c>
      <c r="E83" s="60">
        <f>3.14*C83*D83</f>
        <v>514.96</v>
      </c>
      <c r="F83" s="79">
        <f t="shared" si="10"/>
        <v>2400</v>
      </c>
      <c r="G83" s="82">
        <f t="shared" si="11"/>
        <v>0</v>
      </c>
      <c r="H83" s="79">
        <f t="shared" si="9"/>
        <v>2400</v>
      </c>
      <c r="I83" s="79">
        <f t="shared" si="6"/>
        <v>49.436160000000001</v>
      </c>
      <c r="J83" s="11">
        <f t="shared" si="7"/>
        <v>0</v>
      </c>
    </row>
    <row r="84" spans="1:10" ht="14.1" customHeight="1" x14ac:dyDescent="0.2">
      <c r="A84" s="3" t="s">
        <v>209</v>
      </c>
      <c r="B84" s="109">
        <v>0</v>
      </c>
      <c r="C84" s="5">
        <v>90</v>
      </c>
      <c r="D84" s="5">
        <v>2</v>
      </c>
      <c r="E84" s="60">
        <f t="shared" si="8"/>
        <v>565.20000000000005</v>
      </c>
      <c r="F84" s="79">
        <f t="shared" si="10"/>
        <v>2400</v>
      </c>
      <c r="G84" s="82">
        <f t="shared" si="11"/>
        <v>0</v>
      </c>
      <c r="H84" s="79">
        <f t="shared" si="9"/>
        <v>2400</v>
      </c>
      <c r="I84" s="79">
        <f t="shared" si="6"/>
        <v>54.2592</v>
      </c>
      <c r="J84" s="11">
        <f t="shared" si="7"/>
        <v>0</v>
      </c>
    </row>
    <row r="85" spans="1:10" ht="14.1" customHeight="1" x14ac:dyDescent="0.2">
      <c r="A85" s="3" t="s">
        <v>209</v>
      </c>
      <c r="B85" s="109">
        <v>0</v>
      </c>
      <c r="C85" s="5">
        <v>110</v>
      </c>
      <c r="D85" s="5">
        <v>2</v>
      </c>
      <c r="E85" s="60">
        <f t="shared" si="8"/>
        <v>690.80000000000007</v>
      </c>
      <c r="F85" s="79">
        <f t="shared" si="10"/>
        <v>2400</v>
      </c>
      <c r="G85" s="82">
        <f t="shared" si="11"/>
        <v>0</v>
      </c>
      <c r="H85" s="79">
        <f t="shared" si="9"/>
        <v>2400</v>
      </c>
      <c r="I85" s="79">
        <f t="shared" si="6"/>
        <v>66.316800000000015</v>
      </c>
      <c r="J85" s="11">
        <f t="shared" si="7"/>
        <v>0</v>
      </c>
    </row>
    <row r="86" spans="1:10" ht="14.1" customHeight="1" x14ac:dyDescent="0.2">
      <c r="A86" s="3" t="s">
        <v>209</v>
      </c>
      <c r="B86" s="109">
        <v>0</v>
      </c>
      <c r="C86" s="5">
        <v>125</v>
      </c>
      <c r="D86" s="5">
        <v>4</v>
      </c>
      <c r="E86" s="60">
        <f t="shared" si="8"/>
        <v>1570</v>
      </c>
      <c r="F86" s="79">
        <f t="shared" si="10"/>
        <v>2400</v>
      </c>
      <c r="G86" s="82">
        <f t="shared" si="11"/>
        <v>0</v>
      </c>
      <c r="H86" s="79">
        <f t="shared" si="9"/>
        <v>2400</v>
      </c>
      <c r="I86" s="79">
        <f t="shared" si="6"/>
        <v>150.72</v>
      </c>
      <c r="J86" s="11">
        <f t="shared" si="7"/>
        <v>0</v>
      </c>
    </row>
    <row r="87" spans="1:10" ht="14.1" customHeight="1" x14ac:dyDescent="0.2">
      <c r="A87" s="3" t="s">
        <v>209</v>
      </c>
      <c r="B87" s="109">
        <v>0</v>
      </c>
      <c r="C87" s="5">
        <v>160</v>
      </c>
      <c r="D87" s="5">
        <v>6</v>
      </c>
      <c r="E87" s="60">
        <f t="shared" si="8"/>
        <v>3014.4</v>
      </c>
      <c r="F87" s="79">
        <f t="shared" si="10"/>
        <v>2400</v>
      </c>
      <c r="G87" s="82">
        <f t="shared" si="11"/>
        <v>0</v>
      </c>
      <c r="H87" s="79">
        <f t="shared" si="9"/>
        <v>2400</v>
      </c>
      <c r="I87" s="79">
        <f t="shared" si="6"/>
        <v>289.38240000000002</v>
      </c>
      <c r="J87" s="11">
        <f t="shared" si="7"/>
        <v>0</v>
      </c>
    </row>
    <row r="88" spans="1:10" ht="14.1" customHeight="1" x14ac:dyDescent="0.2">
      <c r="H88" s="191" t="s">
        <v>12</v>
      </c>
      <c r="I88" s="191"/>
      <c r="J88" s="65">
        <f>SUM(J75:J87)</f>
        <v>0</v>
      </c>
    </row>
    <row r="89" spans="1:10" ht="14.1" customHeight="1" x14ac:dyDescent="0.2">
      <c r="H89" s="191" t="s">
        <v>27</v>
      </c>
      <c r="I89" s="191"/>
      <c r="J89" s="83">
        <f>(SUMPRODUCT(B75:B87,E75:E87)/25000)</f>
        <v>0</v>
      </c>
    </row>
    <row r="90" spans="1:10" s="9" customFormat="1" ht="14.1" customHeight="1" x14ac:dyDescent="0.2">
      <c r="B90" s="188" t="s">
        <v>224</v>
      </c>
      <c r="C90" s="188"/>
      <c r="D90" s="188"/>
    </row>
    <row r="92" spans="1:10" ht="20.100000000000001" customHeight="1" x14ac:dyDescent="0.2">
      <c r="B92" s="194" t="s">
        <v>29</v>
      </c>
      <c r="C92" s="194"/>
      <c r="D92" s="194"/>
      <c r="E92" s="194"/>
      <c r="F92" s="194"/>
      <c r="G92" s="194"/>
      <c r="H92" s="194"/>
      <c r="I92" s="194"/>
      <c r="J92" s="194"/>
    </row>
    <row r="93" spans="1:10" ht="30" customHeight="1" x14ac:dyDescent="0.2">
      <c r="B93" s="189" t="s">
        <v>5</v>
      </c>
      <c r="C93" s="189" t="s">
        <v>19</v>
      </c>
      <c r="D93" s="189" t="s">
        <v>16</v>
      </c>
      <c r="E93" s="189"/>
      <c r="F93" s="189"/>
      <c r="G93" s="189"/>
      <c r="H93" s="189"/>
      <c r="I93" s="189" t="s">
        <v>25</v>
      </c>
      <c r="J93" s="189" t="s">
        <v>26</v>
      </c>
    </row>
    <row r="94" spans="1:10" ht="14.1" customHeight="1" x14ac:dyDescent="0.2">
      <c r="B94" s="189"/>
      <c r="C94" s="189"/>
      <c r="D94" s="78" t="s">
        <v>21</v>
      </c>
      <c r="E94" s="78" t="s">
        <v>1</v>
      </c>
      <c r="F94" s="78" t="s">
        <v>2</v>
      </c>
      <c r="G94" s="78" t="s">
        <v>3</v>
      </c>
      <c r="H94" s="78" t="s">
        <v>4</v>
      </c>
      <c r="I94" s="189"/>
      <c r="J94" s="189"/>
    </row>
    <row r="95" spans="1:10" ht="14.1" customHeight="1" x14ac:dyDescent="0.2">
      <c r="B95" s="109">
        <v>0</v>
      </c>
      <c r="C95" s="5">
        <v>15</v>
      </c>
      <c r="D95" s="5">
        <v>1</v>
      </c>
      <c r="E95" s="60">
        <f>3.14*C95*D95</f>
        <v>47.1</v>
      </c>
      <c r="F95" s="79">
        <v>3400</v>
      </c>
      <c r="G95" s="111">
        <v>0</v>
      </c>
      <c r="H95" s="79">
        <f>F95-(G95*F95)</f>
        <v>3400</v>
      </c>
      <c r="I95" s="79">
        <f>(H95*E95/25000)</f>
        <v>6.4055999999999997</v>
      </c>
      <c r="J95" s="11">
        <f>I95*B95</f>
        <v>0</v>
      </c>
    </row>
    <row r="96" spans="1:10" ht="14.1" customHeight="1" x14ac:dyDescent="0.2">
      <c r="B96" s="109">
        <v>0</v>
      </c>
      <c r="C96" s="5">
        <v>20</v>
      </c>
      <c r="D96" s="5">
        <v>1</v>
      </c>
      <c r="E96" s="60">
        <f t="shared" ref="E96:E111" si="16">3.14*C96*D96</f>
        <v>62.800000000000004</v>
      </c>
      <c r="F96" s="79">
        <v>3400</v>
      </c>
      <c r="G96" s="82">
        <f>$G$95</f>
        <v>0</v>
      </c>
      <c r="H96" s="79">
        <f t="shared" ref="H96:H111" si="17">F96-(G96*F96)</f>
        <v>3400</v>
      </c>
      <c r="I96" s="79">
        <f t="shared" ref="I96:I111" si="18">(H96*E96/25000)</f>
        <v>8.5408000000000008</v>
      </c>
      <c r="J96" s="11">
        <f t="shared" ref="J96:J111" si="19">I96*B96</f>
        <v>0</v>
      </c>
    </row>
    <row r="97" spans="2:10" ht="14.1" customHeight="1" x14ac:dyDescent="0.2">
      <c r="B97" s="109">
        <v>0</v>
      </c>
      <c r="C97" s="5">
        <v>25</v>
      </c>
      <c r="D97" s="5">
        <v>1</v>
      </c>
      <c r="E97" s="60">
        <f t="shared" si="16"/>
        <v>78.5</v>
      </c>
      <c r="F97" s="79">
        <v>3400</v>
      </c>
      <c r="G97" s="82">
        <f t="shared" ref="G97:G111" si="20">$G$95</f>
        <v>0</v>
      </c>
      <c r="H97" s="79">
        <f t="shared" si="17"/>
        <v>3400</v>
      </c>
      <c r="I97" s="79">
        <f t="shared" si="18"/>
        <v>10.676</v>
      </c>
      <c r="J97" s="11">
        <f t="shared" si="19"/>
        <v>0</v>
      </c>
    </row>
    <row r="98" spans="2:10" ht="14.1" customHeight="1" x14ac:dyDescent="0.2">
      <c r="B98" s="109">
        <v>0</v>
      </c>
      <c r="C98" s="5">
        <v>32</v>
      </c>
      <c r="D98" s="5">
        <v>1</v>
      </c>
      <c r="E98" s="60">
        <f t="shared" si="16"/>
        <v>100.48</v>
      </c>
      <c r="F98" s="79">
        <v>3400</v>
      </c>
      <c r="G98" s="82">
        <f t="shared" si="20"/>
        <v>0</v>
      </c>
      <c r="H98" s="79">
        <f t="shared" si="17"/>
        <v>3400</v>
      </c>
      <c r="I98" s="79">
        <f t="shared" si="18"/>
        <v>13.665279999999999</v>
      </c>
      <c r="J98" s="11">
        <f t="shared" si="19"/>
        <v>0</v>
      </c>
    </row>
    <row r="99" spans="2:10" ht="14.1" customHeight="1" x14ac:dyDescent="0.2">
      <c r="B99" s="109">
        <v>0</v>
      </c>
      <c r="C99" s="5">
        <v>40</v>
      </c>
      <c r="D99" s="5">
        <v>1</v>
      </c>
      <c r="E99" s="60">
        <f t="shared" si="16"/>
        <v>125.60000000000001</v>
      </c>
      <c r="F99" s="79">
        <v>3400</v>
      </c>
      <c r="G99" s="82">
        <f t="shared" si="20"/>
        <v>0</v>
      </c>
      <c r="H99" s="79">
        <f t="shared" si="17"/>
        <v>3400</v>
      </c>
      <c r="I99" s="79">
        <f t="shared" si="18"/>
        <v>17.081600000000002</v>
      </c>
      <c r="J99" s="11">
        <f t="shared" si="19"/>
        <v>0</v>
      </c>
    </row>
    <row r="100" spans="2:10" ht="14.1" customHeight="1" x14ac:dyDescent="0.2">
      <c r="B100" s="109">
        <v>0</v>
      </c>
      <c r="C100" s="5">
        <v>55</v>
      </c>
      <c r="D100" s="5">
        <v>1</v>
      </c>
      <c r="E100" s="60">
        <f t="shared" si="16"/>
        <v>172.70000000000002</v>
      </c>
      <c r="F100" s="79">
        <v>3400</v>
      </c>
      <c r="G100" s="82">
        <f t="shared" si="20"/>
        <v>0</v>
      </c>
      <c r="H100" s="79">
        <f t="shared" si="17"/>
        <v>3400</v>
      </c>
      <c r="I100" s="79">
        <f t="shared" si="18"/>
        <v>23.487200000000001</v>
      </c>
      <c r="J100" s="11">
        <f t="shared" si="19"/>
        <v>0</v>
      </c>
    </row>
    <row r="101" spans="2:10" ht="14.1" customHeight="1" x14ac:dyDescent="0.2">
      <c r="B101" s="109">
        <v>0</v>
      </c>
      <c r="C101" s="5">
        <v>63</v>
      </c>
      <c r="D101" s="5">
        <v>1</v>
      </c>
      <c r="E101" s="60">
        <f t="shared" si="16"/>
        <v>197.82000000000002</v>
      </c>
      <c r="F101" s="79">
        <v>3400</v>
      </c>
      <c r="G101" s="82">
        <f t="shared" si="20"/>
        <v>0</v>
      </c>
      <c r="H101" s="79">
        <f t="shared" si="17"/>
        <v>3400</v>
      </c>
      <c r="I101" s="79">
        <f t="shared" si="18"/>
        <v>26.903520000000004</v>
      </c>
      <c r="J101" s="11">
        <f t="shared" si="19"/>
        <v>0</v>
      </c>
    </row>
    <row r="102" spans="2:10" s="89" customFormat="1" ht="14.1" customHeight="1" x14ac:dyDescent="0.2">
      <c r="B102" s="109">
        <v>0</v>
      </c>
      <c r="C102" s="5">
        <v>75</v>
      </c>
      <c r="D102" s="5">
        <v>1</v>
      </c>
      <c r="E102" s="60">
        <f t="shared" ref="E102" si="21">3.14*C102*D102</f>
        <v>235.5</v>
      </c>
      <c r="F102" s="79">
        <v>3399</v>
      </c>
      <c r="G102" s="82">
        <f t="shared" si="20"/>
        <v>0</v>
      </c>
      <c r="H102" s="79">
        <f t="shared" ref="H102" si="22">F102-(G102*F102)</f>
        <v>3399</v>
      </c>
      <c r="I102" s="79">
        <f t="shared" ref="I102" si="23">(H102*E102/25000)</f>
        <v>32.01858</v>
      </c>
      <c r="J102" s="11">
        <f t="shared" ref="J102" si="24">I102*B102</f>
        <v>0</v>
      </c>
    </row>
    <row r="103" spans="2:10" ht="14.1" customHeight="1" x14ac:dyDescent="0.2">
      <c r="B103" s="109">
        <v>0</v>
      </c>
      <c r="C103" s="5">
        <v>82</v>
      </c>
      <c r="D103" s="5">
        <v>1</v>
      </c>
      <c r="E103" s="60">
        <f t="shared" si="16"/>
        <v>257.48</v>
      </c>
      <c r="F103" s="79">
        <v>3400</v>
      </c>
      <c r="G103" s="82">
        <f t="shared" si="20"/>
        <v>0</v>
      </c>
      <c r="H103" s="79">
        <f t="shared" si="17"/>
        <v>3400</v>
      </c>
      <c r="I103" s="79">
        <f t="shared" si="18"/>
        <v>35.017280000000007</v>
      </c>
      <c r="J103" s="11">
        <f t="shared" si="19"/>
        <v>0</v>
      </c>
    </row>
    <row r="104" spans="2:10" ht="14.1" customHeight="1" x14ac:dyDescent="0.2">
      <c r="B104" s="109">
        <v>0</v>
      </c>
      <c r="C104" s="5">
        <v>90</v>
      </c>
      <c r="D104" s="5">
        <v>1</v>
      </c>
      <c r="E104" s="60">
        <f t="shared" si="16"/>
        <v>282.60000000000002</v>
      </c>
      <c r="F104" s="79">
        <v>3400</v>
      </c>
      <c r="G104" s="82">
        <f t="shared" si="20"/>
        <v>0</v>
      </c>
      <c r="H104" s="79">
        <f t="shared" si="17"/>
        <v>3400</v>
      </c>
      <c r="I104" s="79">
        <f t="shared" si="18"/>
        <v>38.433600000000006</v>
      </c>
      <c r="J104" s="11">
        <f t="shared" si="19"/>
        <v>0</v>
      </c>
    </row>
    <row r="105" spans="2:10" ht="14.1" customHeight="1" x14ac:dyDescent="0.2">
      <c r="B105" s="109">
        <v>0</v>
      </c>
      <c r="C105" s="5">
        <v>110</v>
      </c>
      <c r="D105" s="5">
        <v>1</v>
      </c>
      <c r="E105" s="60">
        <f t="shared" si="16"/>
        <v>345.40000000000003</v>
      </c>
      <c r="F105" s="79">
        <v>3400</v>
      </c>
      <c r="G105" s="82">
        <f t="shared" si="20"/>
        <v>0</v>
      </c>
      <c r="H105" s="79">
        <f t="shared" si="17"/>
        <v>3400</v>
      </c>
      <c r="I105" s="79">
        <f t="shared" si="18"/>
        <v>46.974400000000003</v>
      </c>
      <c r="J105" s="11">
        <f t="shared" si="19"/>
        <v>0</v>
      </c>
    </row>
    <row r="106" spans="2:10" ht="14.1" customHeight="1" x14ac:dyDescent="0.2">
      <c r="B106" s="109">
        <v>0</v>
      </c>
      <c r="C106" s="5">
        <v>125</v>
      </c>
      <c r="D106" s="5">
        <v>3</v>
      </c>
      <c r="E106" s="60">
        <f t="shared" si="16"/>
        <v>1177.5</v>
      </c>
      <c r="F106" s="79">
        <v>3400</v>
      </c>
      <c r="G106" s="82">
        <f t="shared" si="20"/>
        <v>0</v>
      </c>
      <c r="H106" s="79">
        <f t="shared" si="17"/>
        <v>3400</v>
      </c>
      <c r="I106" s="79">
        <f t="shared" si="18"/>
        <v>160.13999999999999</v>
      </c>
      <c r="J106" s="11">
        <f t="shared" si="19"/>
        <v>0</v>
      </c>
    </row>
    <row r="107" spans="2:10" ht="14.1" customHeight="1" x14ac:dyDescent="0.2">
      <c r="B107" s="109">
        <v>0</v>
      </c>
      <c r="C107" s="5">
        <v>160</v>
      </c>
      <c r="D107" s="5">
        <v>3</v>
      </c>
      <c r="E107" s="60">
        <f t="shared" si="16"/>
        <v>1507.2</v>
      </c>
      <c r="F107" s="79">
        <v>3400</v>
      </c>
      <c r="G107" s="82">
        <f t="shared" si="20"/>
        <v>0</v>
      </c>
      <c r="H107" s="79">
        <f t="shared" si="17"/>
        <v>3400</v>
      </c>
      <c r="I107" s="79">
        <f t="shared" si="18"/>
        <v>204.97919999999999</v>
      </c>
      <c r="J107" s="11">
        <f t="shared" si="19"/>
        <v>0</v>
      </c>
    </row>
    <row r="108" spans="2:10" ht="14.1" customHeight="1" x14ac:dyDescent="0.2">
      <c r="B108" s="109">
        <v>0</v>
      </c>
      <c r="C108" s="5">
        <v>200</v>
      </c>
      <c r="D108" s="5">
        <v>9</v>
      </c>
      <c r="E108" s="60">
        <f t="shared" si="16"/>
        <v>5652</v>
      </c>
      <c r="F108" s="79">
        <v>3400</v>
      </c>
      <c r="G108" s="82">
        <f t="shared" si="20"/>
        <v>0</v>
      </c>
      <c r="H108" s="79">
        <f t="shared" si="17"/>
        <v>3400</v>
      </c>
      <c r="I108" s="79">
        <f t="shared" si="18"/>
        <v>768.67200000000003</v>
      </c>
      <c r="J108" s="11">
        <f t="shared" si="19"/>
        <v>0</v>
      </c>
    </row>
    <row r="109" spans="2:10" ht="14.1" customHeight="1" x14ac:dyDescent="0.2">
      <c r="B109" s="109">
        <v>0</v>
      </c>
      <c r="C109" s="5">
        <v>250</v>
      </c>
      <c r="D109" s="5">
        <v>9</v>
      </c>
      <c r="E109" s="60">
        <f>3.14*C109*D109</f>
        <v>7065</v>
      </c>
      <c r="F109" s="79">
        <v>3400</v>
      </c>
      <c r="G109" s="82">
        <f t="shared" si="20"/>
        <v>0</v>
      </c>
      <c r="H109" s="79">
        <f>F109-(G109*F109)</f>
        <v>3400</v>
      </c>
      <c r="I109" s="79">
        <f>(H109*E109/25000)</f>
        <v>960.84</v>
      </c>
      <c r="J109" s="11">
        <f>I109*B109</f>
        <v>0</v>
      </c>
    </row>
    <row r="110" spans="2:10" ht="14.1" customHeight="1" x14ac:dyDescent="0.2">
      <c r="B110" s="109">
        <v>0</v>
      </c>
      <c r="C110" s="5">
        <v>300</v>
      </c>
      <c r="D110" s="5">
        <v>9</v>
      </c>
      <c r="E110" s="60">
        <f t="shared" si="16"/>
        <v>8478</v>
      </c>
      <c r="F110" s="79">
        <v>3400</v>
      </c>
      <c r="G110" s="82">
        <f t="shared" si="20"/>
        <v>0</v>
      </c>
      <c r="H110" s="79">
        <f t="shared" si="17"/>
        <v>3400</v>
      </c>
      <c r="I110" s="79">
        <f t="shared" si="18"/>
        <v>1153.008</v>
      </c>
      <c r="J110" s="11">
        <f t="shared" si="19"/>
        <v>0</v>
      </c>
    </row>
    <row r="111" spans="2:10" ht="14.1" customHeight="1" x14ac:dyDescent="0.2">
      <c r="B111" s="109">
        <v>0</v>
      </c>
      <c r="C111" s="5">
        <v>315</v>
      </c>
      <c r="D111" s="5">
        <v>9</v>
      </c>
      <c r="E111" s="60">
        <f t="shared" si="16"/>
        <v>8901.9</v>
      </c>
      <c r="F111" s="79">
        <v>3400</v>
      </c>
      <c r="G111" s="82">
        <f t="shared" si="20"/>
        <v>0</v>
      </c>
      <c r="H111" s="79">
        <f t="shared" si="17"/>
        <v>3400</v>
      </c>
      <c r="I111" s="79">
        <f t="shared" si="18"/>
        <v>1210.6584</v>
      </c>
      <c r="J111" s="11">
        <f t="shared" si="19"/>
        <v>0</v>
      </c>
    </row>
    <row r="112" spans="2:10" ht="14.1" customHeight="1" x14ac:dyDescent="0.2">
      <c r="H112" s="191" t="s">
        <v>12</v>
      </c>
      <c r="I112" s="191"/>
      <c r="J112" s="65">
        <f>SUM(J95:J111)</f>
        <v>0</v>
      </c>
    </row>
    <row r="113" spans="2:10" ht="14.1" customHeight="1" x14ac:dyDescent="0.2">
      <c r="H113" s="191" t="s">
        <v>31</v>
      </c>
      <c r="I113" s="191"/>
      <c r="J113" s="66">
        <f>(SUMPRODUCT(B95:B111,E95:E111)/25000)</f>
        <v>0</v>
      </c>
    </row>
    <row r="114" spans="2:10" s="9" customFormat="1" ht="14.1" customHeight="1" x14ac:dyDescent="0.2">
      <c r="B114" s="188" t="s">
        <v>224</v>
      </c>
      <c r="C114" s="188"/>
      <c r="D114" s="188"/>
    </row>
    <row r="116" spans="2:10" ht="20.100000000000001" customHeight="1" x14ac:dyDescent="0.2">
      <c r="B116" s="194" t="s">
        <v>30</v>
      </c>
      <c r="C116" s="194"/>
      <c r="D116" s="194"/>
      <c r="E116" s="194"/>
      <c r="F116" s="194"/>
      <c r="G116" s="194"/>
      <c r="H116" s="194"/>
      <c r="I116" s="194"/>
      <c r="J116" s="194"/>
    </row>
    <row r="117" spans="2:10" ht="30" customHeight="1" x14ac:dyDescent="0.2">
      <c r="B117" s="189" t="s">
        <v>5</v>
      </c>
      <c r="C117" s="189" t="s">
        <v>19</v>
      </c>
      <c r="D117" s="189" t="s">
        <v>16</v>
      </c>
      <c r="E117" s="189"/>
      <c r="F117" s="189"/>
      <c r="G117" s="189"/>
      <c r="H117" s="189"/>
      <c r="I117" s="189" t="s">
        <v>25</v>
      </c>
      <c r="J117" s="189" t="s">
        <v>26</v>
      </c>
    </row>
    <row r="118" spans="2:10" ht="14.1" customHeight="1" x14ac:dyDescent="0.2">
      <c r="B118" s="189"/>
      <c r="C118" s="189"/>
      <c r="D118" s="78" t="s">
        <v>21</v>
      </c>
      <c r="E118" s="78" t="s">
        <v>1</v>
      </c>
      <c r="F118" s="78" t="s">
        <v>2</v>
      </c>
      <c r="G118" s="78" t="s">
        <v>3</v>
      </c>
      <c r="H118" s="78" t="s">
        <v>4</v>
      </c>
      <c r="I118" s="189"/>
      <c r="J118" s="189"/>
    </row>
    <row r="119" spans="2:10" ht="14.1" customHeight="1" x14ac:dyDescent="0.2">
      <c r="B119" s="109">
        <v>0</v>
      </c>
      <c r="C119" s="5">
        <v>15</v>
      </c>
      <c r="D119" s="5">
        <v>2</v>
      </c>
      <c r="E119" s="60">
        <f>3.14*C119*D119</f>
        <v>94.2</v>
      </c>
      <c r="F119" s="79">
        <v>3400</v>
      </c>
      <c r="G119" s="111">
        <v>0</v>
      </c>
      <c r="H119" s="79">
        <f>F119-(G119*F119)</f>
        <v>3400</v>
      </c>
      <c r="I119" s="79">
        <f>(H119*E119/25000)</f>
        <v>12.811199999999999</v>
      </c>
      <c r="J119" s="11">
        <f>I119*B119</f>
        <v>0</v>
      </c>
    </row>
    <row r="120" spans="2:10" ht="14.1" customHeight="1" x14ac:dyDescent="0.2">
      <c r="B120" s="109">
        <v>0</v>
      </c>
      <c r="C120" s="5">
        <v>20</v>
      </c>
      <c r="D120" s="5">
        <v>2</v>
      </c>
      <c r="E120" s="60">
        <f t="shared" ref="E120:E132" si="25">3.14*C120*D120</f>
        <v>125.60000000000001</v>
      </c>
      <c r="F120" s="79">
        <v>3400</v>
      </c>
      <c r="G120" s="82">
        <f>$G$119</f>
        <v>0</v>
      </c>
      <c r="H120" s="79">
        <f t="shared" ref="H120:H132" si="26">F120-(G120*F120)</f>
        <v>3400</v>
      </c>
      <c r="I120" s="79">
        <f t="shared" ref="I120:I132" si="27">(H120*E120/25000)</f>
        <v>17.081600000000002</v>
      </c>
      <c r="J120" s="11">
        <f t="shared" ref="J120:J132" si="28">I120*B120</f>
        <v>0</v>
      </c>
    </row>
    <row r="121" spans="2:10" ht="14.1" customHeight="1" x14ac:dyDescent="0.2">
      <c r="B121" s="109">
        <v>0</v>
      </c>
      <c r="C121" s="5">
        <v>25</v>
      </c>
      <c r="D121" s="5">
        <v>2</v>
      </c>
      <c r="E121" s="60">
        <f t="shared" si="25"/>
        <v>157</v>
      </c>
      <c r="F121" s="79">
        <v>3400</v>
      </c>
      <c r="G121" s="82">
        <f t="shared" ref="G121:G133" si="29">$G$119</f>
        <v>0</v>
      </c>
      <c r="H121" s="79">
        <f t="shared" si="26"/>
        <v>3400</v>
      </c>
      <c r="I121" s="79">
        <f t="shared" si="27"/>
        <v>21.352</v>
      </c>
      <c r="J121" s="11">
        <f t="shared" si="28"/>
        <v>0</v>
      </c>
    </row>
    <row r="122" spans="2:10" ht="14.1" customHeight="1" x14ac:dyDescent="0.2">
      <c r="B122" s="109">
        <v>0</v>
      </c>
      <c r="C122" s="5">
        <v>32</v>
      </c>
      <c r="D122" s="5">
        <v>2</v>
      </c>
      <c r="E122" s="60">
        <f t="shared" si="25"/>
        <v>200.96</v>
      </c>
      <c r="F122" s="79">
        <v>3400</v>
      </c>
      <c r="G122" s="82">
        <f t="shared" si="29"/>
        <v>0</v>
      </c>
      <c r="H122" s="79">
        <f t="shared" si="26"/>
        <v>3400</v>
      </c>
      <c r="I122" s="79">
        <f t="shared" si="27"/>
        <v>27.330559999999998</v>
      </c>
      <c r="J122" s="11">
        <f t="shared" si="28"/>
        <v>0</v>
      </c>
    </row>
    <row r="123" spans="2:10" ht="14.1" customHeight="1" x14ac:dyDescent="0.2">
      <c r="B123" s="109">
        <v>0</v>
      </c>
      <c r="C123" s="5">
        <v>40</v>
      </c>
      <c r="D123" s="5">
        <v>2</v>
      </c>
      <c r="E123" s="60">
        <f t="shared" si="25"/>
        <v>251.20000000000002</v>
      </c>
      <c r="F123" s="79">
        <v>3400</v>
      </c>
      <c r="G123" s="82">
        <f t="shared" si="29"/>
        <v>0</v>
      </c>
      <c r="H123" s="79">
        <f t="shared" si="26"/>
        <v>3400</v>
      </c>
      <c r="I123" s="79">
        <f t="shared" si="27"/>
        <v>34.163200000000003</v>
      </c>
      <c r="J123" s="11">
        <f t="shared" si="28"/>
        <v>0</v>
      </c>
    </row>
    <row r="124" spans="2:10" ht="14.1" customHeight="1" x14ac:dyDescent="0.2">
      <c r="B124" s="109">
        <v>0</v>
      </c>
      <c r="C124" s="5">
        <v>55</v>
      </c>
      <c r="D124" s="5">
        <v>2</v>
      </c>
      <c r="E124" s="60">
        <f t="shared" si="25"/>
        <v>345.40000000000003</v>
      </c>
      <c r="F124" s="79">
        <v>3400</v>
      </c>
      <c r="G124" s="82">
        <f t="shared" si="29"/>
        <v>0</v>
      </c>
      <c r="H124" s="79">
        <f t="shared" si="26"/>
        <v>3400</v>
      </c>
      <c r="I124" s="79">
        <f t="shared" si="27"/>
        <v>46.974400000000003</v>
      </c>
      <c r="J124" s="11">
        <f t="shared" si="28"/>
        <v>0</v>
      </c>
    </row>
    <row r="125" spans="2:10" ht="14.1" customHeight="1" x14ac:dyDescent="0.2">
      <c r="B125" s="109">
        <v>0</v>
      </c>
      <c r="C125" s="5">
        <v>63</v>
      </c>
      <c r="D125" s="5">
        <v>2</v>
      </c>
      <c r="E125" s="60">
        <f t="shared" si="25"/>
        <v>395.64000000000004</v>
      </c>
      <c r="F125" s="79">
        <v>3400</v>
      </c>
      <c r="G125" s="82">
        <f t="shared" si="29"/>
        <v>0</v>
      </c>
      <c r="H125" s="79">
        <f t="shared" si="26"/>
        <v>3400</v>
      </c>
      <c r="I125" s="79">
        <f t="shared" si="27"/>
        <v>53.807040000000008</v>
      </c>
      <c r="J125" s="11">
        <f t="shared" si="28"/>
        <v>0</v>
      </c>
    </row>
    <row r="126" spans="2:10" s="89" customFormat="1" ht="14.1" customHeight="1" x14ac:dyDescent="0.2">
      <c r="B126" s="109">
        <v>0</v>
      </c>
      <c r="C126" s="5">
        <v>75</v>
      </c>
      <c r="D126" s="5">
        <v>2</v>
      </c>
      <c r="E126" s="60">
        <f t="shared" ref="E126" si="30">3.14*C126*D126</f>
        <v>471</v>
      </c>
      <c r="F126" s="79">
        <v>3399</v>
      </c>
      <c r="G126" s="82">
        <f t="shared" si="29"/>
        <v>0</v>
      </c>
      <c r="H126" s="79">
        <f t="shared" ref="H126" si="31">F126-(G126*F126)</f>
        <v>3399</v>
      </c>
      <c r="I126" s="79">
        <f t="shared" ref="I126" si="32">(H126*E126/25000)</f>
        <v>64.03716</v>
      </c>
      <c r="J126" s="11">
        <f t="shared" ref="J126" si="33">I126*B126</f>
        <v>0</v>
      </c>
    </row>
    <row r="127" spans="2:10" ht="14.1" customHeight="1" x14ac:dyDescent="0.2">
      <c r="B127" s="109">
        <v>0</v>
      </c>
      <c r="C127" s="5">
        <v>82</v>
      </c>
      <c r="D127" s="5">
        <v>2</v>
      </c>
      <c r="E127" s="60">
        <f t="shared" si="25"/>
        <v>514.96</v>
      </c>
      <c r="F127" s="79">
        <v>3400</v>
      </c>
      <c r="G127" s="82">
        <f t="shared" si="29"/>
        <v>0</v>
      </c>
      <c r="H127" s="79">
        <f t="shared" si="26"/>
        <v>3400</v>
      </c>
      <c r="I127" s="79">
        <f t="shared" si="27"/>
        <v>70.034560000000013</v>
      </c>
      <c r="J127" s="11">
        <f t="shared" si="28"/>
        <v>0</v>
      </c>
    </row>
    <row r="128" spans="2:10" ht="14.1" customHeight="1" x14ac:dyDescent="0.2">
      <c r="B128" s="109">
        <v>0</v>
      </c>
      <c r="C128" s="5">
        <v>90</v>
      </c>
      <c r="D128" s="5">
        <v>2</v>
      </c>
      <c r="E128" s="60">
        <f t="shared" si="25"/>
        <v>565.20000000000005</v>
      </c>
      <c r="F128" s="79">
        <v>3400</v>
      </c>
      <c r="G128" s="82">
        <f t="shared" si="29"/>
        <v>0</v>
      </c>
      <c r="H128" s="79">
        <f t="shared" si="26"/>
        <v>3400</v>
      </c>
      <c r="I128" s="79">
        <f t="shared" si="27"/>
        <v>76.867200000000011</v>
      </c>
      <c r="J128" s="11">
        <f t="shared" si="28"/>
        <v>0</v>
      </c>
    </row>
    <row r="129" spans="2:10" ht="14.1" customHeight="1" x14ac:dyDescent="0.2">
      <c r="B129" s="109">
        <v>0</v>
      </c>
      <c r="C129" s="5">
        <v>110</v>
      </c>
      <c r="D129" s="5">
        <v>2</v>
      </c>
      <c r="E129" s="60">
        <f t="shared" si="25"/>
        <v>690.80000000000007</v>
      </c>
      <c r="F129" s="79">
        <v>3400</v>
      </c>
      <c r="G129" s="82">
        <f t="shared" si="29"/>
        <v>0</v>
      </c>
      <c r="H129" s="79">
        <f t="shared" si="26"/>
        <v>3400</v>
      </c>
      <c r="I129" s="79">
        <f t="shared" si="27"/>
        <v>93.948800000000006</v>
      </c>
      <c r="J129" s="11">
        <f t="shared" si="28"/>
        <v>0</v>
      </c>
    </row>
    <row r="130" spans="2:10" ht="14.1" customHeight="1" x14ac:dyDescent="0.2">
      <c r="B130" s="109">
        <v>0</v>
      </c>
      <c r="C130" s="5">
        <v>125</v>
      </c>
      <c r="D130" s="5">
        <v>2</v>
      </c>
      <c r="E130" s="60">
        <f t="shared" si="25"/>
        <v>785</v>
      </c>
      <c r="F130" s="79">
        <v>3400</v>
      </c>
      <c r="G130" s="82">
        <f t="shared" si="29"/>
        <v>0</v>
      </c>
      <c r="H130" s="79">
        <f t="shared" si="26"/>
        <v>3400</v>
      </c>
      <c r="I130" s="79">
        <f t="shared" si="27"/>
        <v>106.76</v>
      </c>
      <c r="J130" s="11">
        <f t="shared" si="28"/>
        <v>0</v>
      </c>
    </row>
    <row r="131" spans="2:10" ht="14.1" customHeight="1" x14ac:dyDescent="0.2">
      <c r="B131" s="109">
        <v>0</v>
      </c>
      <c r="C131" s="5">
        <v>160</v>
      </c>
      <c r="D131" s="5">
        <v>4</v>
      </c>
      <c r="E131" s="60">
        <f t="shared" si="25"/>
        <v>2009.6000000000001</v>
      </c>
      <c r="F131" s="79">
        <v>3400</v>
      </c>
      <c r="G131" s="82">
        <f t="shared" si="29"/>
        <v>0</v>
      </c>
      <c r="H131" s="79">
        <f t="shared" si="26"/>
        <v>3400</v>
      </c>
      <c r="I131" s="79">
        <f t="shared" si="27"/>
        <v>273.30560000000003</v>
      </c>
      <c r="J131" s="11">
        <f t="shared" si="28"/>
        <v>0</v>
      </c>
    </row>
    <row r="132" spans="2:10" ht="14.1" customHeight="1" x14ac:dyDescent="0.2">
      <c r="B132" s="109">
        <v>0</v>
      </c>
      <c r="C132" s="5">
        <v>200</v>
      </c>
      <c r="D132" s="5">
        <v>7</v>
      </c>
      <c r="E132" s="60">
        <f t="shared" si="25"/>
        <v>4396</v>
      </c>
      <c r="F132" s="79">
        <v>3400</v>
      </c>
      <c r="G132" s="82">
        <f t="shared" si="29"/>
        <v>0</v>
      </c>
      <c r="H132" s="79">
        <f t="shared" si="26"/>
        <v>3400</v>
      </c>
      <c r="I132" s="79">
        <f t="shared" si="27"/>
        <v>597.85599999999999</v>
      </c>
      <c r="J132" s="11">
        <f t="shared" si="28"/>
        <v>0</v>
      </c>
    </row>
    <row r="133" spans="2:10" ht="14.1" customHeight="1" x14ac:dyDescent="0.2">
      <c r="B133" s="109">
        <v>0</v>
      </c>
      <c r="C133" s="5">
        <v>250</v>
      </c>
      <c r="D133" s="5">
        <v>7</v>
      </c>
      <c r="E133" s="60">
        <f>3.14*C133*D133</f>
        <v>5495</v>
      </c>
      <c r="F133" s="79">
        <v>3400</v>
      </c>
      <c r="G133" s="82">
        <f t="shared" si="29"/>
        <v>0</v>
      </c>
      <c r="H133" s="79">
        <f>F133-(G133*F133)</f>
        <v>3400</v>
      </c>
      <c r="I133" s="79">
        <f>(H133*E133/25000)</f>
        <v>747.32</v>
      </c>
      <c r="J133" s="11">
        <f>I133*B133</f>
        <v>0</v>
      </c>
    </row>
    <row r="134" spans="2:10" ht="14.1" customHeight="1" x14ac:dyDescent="0.2">
      <c r="H134" s="191" t="s">
        <v>12</v>
      </c>
      <c r="I134" s="191"/>
      <c r="J134" s="65">
        <f>SUM(J119:J133)</f>
        <v>0</v>
      </c>
    </row>
    <row r="135" spans="2:10" ht="14.1" customHeight="1" x14ac:dyDescent="0.2">
      <c r="B135" s="188" t="s">
        <v>224</v>
      </c>
      <c r="C135" s="188"/>
      <c r="D135" s="188"/>
      <c r="H135" s="191" t="s">
        <v>31</v>
      </c>
      <c r="I135" s="191"/>
      <c r="J135" s="66">
        <f>(SUMPRODUCT(B119:B133,E119:E133)/25000)</f>
        <v>0</v>
      </c>
    </row>
    <row r="137" spans="2:10" ht="20.100000000000001" customHeight="1" x14ac:dyDescent="0.2">
      <c r="B137" s="194" t="s">
        <v>190</v>
      </c>
      <c r="C137" s="194"/>
      <c r="D137" s="194"/>
      <c r="E137" s="194"/>
      <c r="F137" s="194"/>
      <c r="G137" s="194"/>
      <c r="H137" s="194"/>
      <c r="I137" s="194"/>
      <c r="J137" s="194"/>
    </row>
    <row r="138" spans="2:10" ht="28.5" customHeight="1" x14ac:dyDescent="0.2">
      <c r="B138" s="189" t="s">
        <v>5</v>
      </c>
      <c r="C138" s="189" t="s">
        <v>19</v>
      </c>
      <c r="D138" s="189" t="s">
        <v>17</v>
      </c>
      <c r="E138" s="189"/>
      <c r="F138" s="189"/>
      <c r="G138" s="189"/>
      <c r="H138" s="189"/>
      <c r="I138" s="189" t="s">
        <v>25</v>
      </c>
      <c r="J138" s="189" t="s">
        <v>26</v>
      </c>
    </row>
    <row r="139" spans="2:10" ht="14.1" customHeight="1" x14ac:dyDescent="0.2">
      <c r="B139" s="189"/>
      <c r="C139" s="189"/>
      <c r="D139" s="78" t="s">
        <v>21</v>
      </c>
      <c r="E139" s="78" t="s">
        <v>1</v>
      </c>
      <c r="F139" s="78" t="s">
        <v>2</v>
      </c>
      <c r="G139" s="78" t="s">
        <v>3</v>
      </c>
      <c r="H139" s="78" t="s">
        <v>4</v>
      </c>
      <c r="I139" s="189"/>
      <c r="J139" s="189"/>
    </row>
    <row r="140" spans="2:10" ht="14.1" customHeight="1" x14ac:dyDescent="0.2">
      <c r="B140" s="109">
        <v>0</v>
      </c>
      <c r="C140" s="5">
        <v>32</v>
      </c>
      <c r="D140" s="5">
        <v>1</v>
      </c>
      <c r="E140" s="60">
        <v>232.36</v>
      </c>
      <c r="F140" s="79">
        <v>2400</v>
      </c>
      <c r="G140" s="110">
        <v>0</v>
      </c>
      <c r="H140" s="79">
        <f>F140*(1-G140)</f>
        <v>2400</v>
      </c>
      <c r="I140" s="79">
        <f>H140*E140/25000</f>
        <v>22.306560000000001</v>
      </c>
      <c r="J140" s="11">
        <f>I140*B140</f>
        <v>0</v>
      </c>
    </row>
    <row r="141" spans="2:10" ht="14.1" customHeight="1" x14ac:dyDescent="0.2">
      <c r="B141" s="109">
        <v>0</v>
      </c>
      <c r="C141" s="5">
        <v>40</v>
      </c>
      <c r="D141" s="5">
        <v>2</v>
      </c>
      <c r="E141" s="60">
        <v>565.20000000000005</v>
      </c>
      <c r="F141" s="79">
        <v>2400</v>
      </c>
      <c r="G141" s="16">
        <f>$G$140</f>
        <v>0</v>
      </c>
      <c r="H141" s="79">
        <f t="shared" ref="H141:H153" si="34">F141*(1-G141)</f>
        <v>2400</v>
      </c>
      <c r="I141" s="79">
        <f t="shared" ref="I141:I153" si="35">H141*E141/25000</f>
        <v>54.2592</v>
      </c>
      <c r="J141" s="11">
        <f t="shared" ref="J141:J153" si="36">I141*B141</f>
        <v>0</v>
      </c>
    </row>
    <row r="142" spans="2:10" ht="14.1" customHeight="1" x14ac:dyDescent="0.2">
      <c r="B142" s="109">
        <v>0</v>
      </c>
      <c r="C142" s="5">
        <v>50</v>
      </c>
      <c r="D142" s="5">
        <v>2</v>
      </c>
      <c r="E142" s="60">
        <v>690.80000000000007</v>
      </c>
      <c r="F142" s="79">
        <v>2400</v>
      </c>
      <c r="G142" s="16">
        <f t="shared" ref="G142:G153" si="37">$G$140</f>
        <v>0</v>
      </c>
      <c r="H142" s="79">
        <f t="shared" si="34"/>
        <v>2400</v>
      </c>
      <c r="I142" s="79">
        <f t="shared" si="35"/>
        <v>66.316800000000015</v>
      </c>
      <c r="J142" s="11">
        <f t="shared" si="36"/>
        <v>0</v>
      </c>
    </row>
    <row r="143" spans="2:10" ht="14.1" customHeight="1" x14ac:dyDescent="0.2">
      <c r="B143" s="109">
        <v>0</v>
      </c>
      <c r="C143" s="5">
        <v>65</v>
      </c>
      <c r="D143" s="5">
        <v>2</v>
      </c>
      <c r="E143" s="60">
        <v>866.64</v>
      </c>
      <c r="F143" s="79">
        <v>2400</v>
      </c>
      <c r="G143" s="16">
        <f t="shared" si="37"/>
        <v>0</v>
      </c>
      <c r="H143" s="79">
        <f t="shared" si="34"/>
        <v>2400</v>
      </c>
      <c r="I143" s="79">
        <f t="shared" si="35"/>
        <v>83.19744</v>
      </c>
      <c r="J143" s="11">
        <f t="shared" si="36"/>
        <v>0</v>
      </c>
    </row>
    <row r="144" spans="2:10" ht="14.1" customHeight="1" x14ac:dyDescent="0.2">
      <c r="B144" s="109">
        <v>0</v>
      </c>
      <c r="C144" s="5">
        <v>80</v>
      </c>
      <c r="D144" s="5">
        <v>2</v>
      </c>
      <c r="E144" s="60">
        <v>1055.04</v>
      </c>
      <c r="F144" s="79">
        <v>2400</v>
      </c>
      <c r="G144" s="16">
        <f t="shared" si="37"/>
        <v>0</v>
      </c>
      <c r="H144" s="79">
        <f t="shared" si="34"/>
        <v>2400</v>
      </c>
      <c r="I144" s="79">
        <f t="shared" si="35"/>
        <v>101.28384</v>
      </c>
      <c r="J144" s="11">
        <f t="shared" si="36"/>
        <v>0</v>
      </c>
    </row>
    <row r="145" spans="2:10" ht="14.1" customHeight="1" x14ac:dyDescent="0.2">
      <c r="B145" s="109">
        <v>0</v>
      </c>
      <c r="C145" s="5">
        <v>100</v>
      </c>
      <c r="D145" s="5">
        <v>3</v>
      </c>
      <c r="E145" s="60">
        <v>2015.88</v>
      </c>
      <c r="F145" s="79">
        <v>2400</v>
      </c>
      <c r="G145" s="16">
        <f t="shared" si="37"/>
        <v>0</v>
      </c>
      <c r="H145" s="79">
        <f t="shared" si="34"/>
        <v>2400</v>
      </c>
      <c r="I145" s="79">
        <f t="shared" si="35"/>
        <v>193.52448000000001</v>
      </c>
      <c r="J145" s="11">
        <f t="shared" si="36"/>
        <v>0</v>
      </c>
    </row>
    <row r="146" spans="2:10" ht="14.1" customHeight="1" x14ac:dyDescent="0.2">
      <c r="B146" s="109">
        <v>0</v>
      </c>
      <c r="C146" s="5">
        <v>125</v>
      </c>
      <c r="D146" s="5">
        <v>3</v>
      </c>
      <c r="E146" s="60">
        <v>2260.8000000000002</v>
      </c>
      <c r="F146" s="79">
        <v>2400</v>
      </c>
      <c r="G146" s="16">
        <f t="shared" si="37"/>
        <v>0</v>
      </c>
      <c r="H146" s="79">
        <f t="shared" si="34"/>
        <v>2400</v>
      </c>
      <c r="I146" s="79">
        <f t="shared" si="35"/>
        <v>217.0368</v>
      </c>
      <c r="J146" s="11">
        <f t="shared" si="36"/>
        <v>0</v>
      </c>
    </row>
    <row r="147" spans="2:10" ht="14.1" customHeight="1" x14ac:dyDescent="0.2">
      <c r="B147" s="109">
        <v>0</v>
      </c>
      <c r="C147" s="5">
        <v>150</v>
      </c>
      <c r="D147" s="5">
        <v>3</v>
      </c>
      <c r="E147" s="60">
        <v>2505.7200000000003</v>
      </c>
      <c r="F147" s="79">
        <v>2400</v>
      </c>
      <c r="G147" s="16">
        <f t="shared" si="37"/>
        <v>0</v>
      </c>
      <c r="H147" s="79">
        <f t="shared" si="34"/>
        <v>2400</v>
      </c>
      <c r="I147" s="79">
        <f t="shared" si="35"/>
        <v>240.54912000000004</v>
      </c>
      <c r="J147" s="11">
        <f t="shared" si="36"/>
        <v>0</v>
      </c>
    </row>
    <row r="148" spans="2:10" ht="14.1" customHeight="1" x14ac:dyDescent="0.2">
      <c r="B148" s="109">
        <v>0</v>
      </c>
      <c r="C148" s="5">
        <v>200</v>
      </c>
      <c r="D148" s="5">
        <v>3</v>
      </c>
      <c r="E148" s="60">
        <v>2976.7200000000003</v>
      </c>
      <c r="F148" s="79">
        <v>2400</v>
      </c>
      <c r="G148" s="16">
        <f t="shared" si="37"/>
        <v>0</v>
      </c>
      <c r="H148" s="79">
        <f t="shared" si="34"/>
        <v>2400</v>
      </c>
      <c r="I148" s="79">
        <f t="shared" si="35"/>
        <v>285.76512000000002</v>
      </c>
      <c r="J148" s="11">
        <f t="shared" si="36"/>
        <v>0</v>
      </c>
    </row>
    <row r="149" spans="2:10" ht="14.1" customHeight="1" x14ac:dyDescent="0.2">
      <c r="B149" s="109">
        <v>0</v>
      </c>
      <c r="C149" s="5">
        <v>250</v>
      </c>
      <c r="D149" s="5">
        <v>4</v>
      </c>
      <c r="E149" s="60">
        <v>4647.2</v>
      </c>
      <c r="F149" s="79">
        <v>2400</v>
      </c>
      <c r="G149" s="16">
        <f t="shared" si="37"/>
        <v>0</v>
      </c>
      <c r="H149" s="79">
        <f t="shared" si="34"/>
        <v>2400</v>
      </c>
      <c r="I149" s="79">
        <f t="shared" si="35"/>
        <v>446.13119999999998</v>
      </c>
      <c r="J149" s="11">
        <f t="shared" si="36"/>
        <v>0</v>
      </c>
    </row>
    <row r="150" spans="2:10" ht="14.1" customHeight="1" x14ac:dyDescent="0.2">
      <c r="B150" s="109">
        <v>0</v>
      </c>
      <c r="C150" s="5">
        <v>300</v>
      </c>
      <c r="D150" s="5">
        <v>5</v>
      </c>
      <c r="E150" s="60">
        <v>6594</v>
      </c>
      <c r="F150" s="79">
        <v>2400</v>
      </c>
      <c r="G150" s="16">
        <f t="shared" si="37"/>
        <v>0</v>
      </c>
      <c r="H150" s="79">
        <f t="shared" si="34"/>
        <v>2400</v>
      </c>
      <c r="I150" s="79">
        <f t="shared" si="35"/>
        <v>633.024</v>
      </c>
      <c r="J150" s="11">
        <f t="shared" si="36"/>
        <v>0</v>
      </c>
    </row>
    <row r="151" spans="2:10" ht="14.1" customHeight="1" x14ac:dyDescent="0.2">
      <c r="B151" s="109">
        <v>0</v>
      </c>
      <c r="C151" s="5">
        <v>350</v>
      </c>
      <c r="D151" s="5">
        <v>6</v>
      </c>
      <c r="E151" s="60">
        <v>8478</v>
      </c>
      <c r="F151" s="79">
        <v>2400</v>
      </c>
      <c r="G151" s="16">
        <f t="shared" si="37"/>
        <v>0</v>
      </c>
      <c r="H151" s="79">
        <f t="shared" si="34"/>
        <v>2400</v>
      </c>
      <c r="I151" s="79">
        <f t="shared" si="35"/>
        <v>813.88800000000003</v>
      </c>
      <c r="J151" s="11">
        <f t="shared" si="36"/>
        <v>0</v>
      </c>
    </row>
    <row r="152" spans="2:10" ht="14.1" customHeight="1" x14ac:dyDescent="0.2">
      <c r="B152" s="109">
        <v>0</v>
      </c>
      <c r="C152" s="5">
        <v>400</v>
      </c>
      <c r="D152" s="5">
        <v>7</v>
      </c>
      <c r="E152" s="60">
        <v>11121.880000000001</v>
      </c>
      <c r="F152" s="79">
        <v>2400</v>
      </c>
      <c r="G152" s="16">
        <f t="shared" si="37"/>
        <v>0</v>
      </c>
      <c r="H152" s="79">
        <f t="shared" si="34"/>
        <v>2400</v>
      </c>
      <c r="I152" s="79">
        <f t="shared" si="35"/>
        <v>1067.7004800000002</v>
      </c>
      <c r="J152" s="11">
        <f t="shared" si="36"/>
        <v>0</v>
      </c>
    </row>
    <row r="153" spans="2:10" ht="14.1" customHeight="1" x14ac:dyDescent="0.2">
      <c r="B153" s="109">
        <v>0</v>
      </c>
      <c r="C153" s="5">
        <v>450</v>
      </c>
      <c r="D153" s="5">
        <v>8</v>
      </c>
      <c r="E153" s="60">
        <v>13916.480000000001</v>
      </c>
      <c r="F153" s="79">
        <v>2400</v>
      </c>
      <c r="G153" s="16">
        <f t="shared" si="37"/>
        <v>0</v>
      </c>
      <c r="H153" s="79">
        <f t="shared" si="34"/>
        <v>2400</v>
      </c>
      <c r="I153" s="79">
        <f t="shared" si="35"/>
        <v>1335.9820800000002</v>
      </c>
      <c r="J153" s="11">
        <f t="shared" si="36"/>
        <v>0</v>
      </c>
    </row>
    <row r="154" spans="2:10" ht="14.1" customHeight="1" x14ac:dyDescent="0.2">
      <c r="H154" s="191" t="s">
        <v>12</v>
      </c>
      <c r="I154" s="191"/>
      <c r="J154" s="65">
        <f>SUM(J140:J153)</f>
        <v>0</v>
      </c>
    </row>
    <row r="155" spans="2:10" ht="14.1" customHeight="1" x14ac:dyDescent="0.2">
      <c r="B155" s="188" t="s">
        <v>224</v>
      </c>
      <c r="C155" s="188"/>
      <c r="D155" s="188"/>
      <c r="H155" s="191" t="s">
        <v>27</v>
      </c>
      <c r="I155" s="191"/>
      <c r="J155" s="66">
        <f>(SUMPRODUCT(B140:B153,E140:E153)/25000)</f>
        <v>0</v>
      </c>
    </row>
    <row r="157" spans="2:10" ht="20.100000000000001" customHeight="1" x14ac:dyDescent="0.2">
      <c r="B157" s="194" t="s">
        <v>191</v>
      </c>
      <c r="C157" s="194"/>
      <c r="D157" s="194"/>
      <c r="E157" s="194"/>
      <c r="F157" s="194"/>
      <c r="G157" s="194"/>
      <c r="H157" s="194"/>
      <c r="I157" s="194"/>
      <c r="J157" s="194"/>
    </row>
    <row r="158" spans="2:10" ht="31.5" customHeight="1" x14ac:dyDescent="0.2">
      <c r="B158" s="189" t="s">
        <v>5</v>
      </c>
      <c r="C158" s="189" t="s">
        <v>19</v>
      </c>
      <c r="D158" s="189" t="s">
        <v>17</v>
      </c>
      <c r="E158" s="189"/>
      <c r="F158" s="189"/>
      <c r="G158" s="189"/>
      <c r="H158" s="189"/>
      <c r="I158" s="189" t="s">
        <v>25</v>
      </c>
      <c r="J158" s="189" t="s">
        <v>26</v>
      </c>
    </row>
    <row r="159" spans="2:10" ht="14.1" customHeight="1" x14ac:dyDescent="0.2">
      <c r="B159" s="189"/>
      <c r="C159" s="189"/>
      <c r="D159" s="78" t="s">
        <v>21</v>
      </c>
      <c r="E159" s="78" t="s">
        <v>1</v>
      </c>
      <c r="F159" s="78" t="s">
        <v>2</v>
      </c>
      <c r="G159" s="78" t="s">
        <v>3</v>
      </c>
      <c r="H159" s="78" t="s">
        <v>4</v>
      </c>
      <c r="I159" s="189"/>
      <c r="J159" s="189"/>
    </row>
    <row r="160" spans="2:10" ht="14.1" customHeight="1" x14ac:dyDescent="0.2">
      <c r="B160" s="109">
        <v>0</v>
      </c>
      <c r="C160" s="5">
        <v>32</v>
      </c>
      <c r="D160" s="5" t="s">
        <v>106</v>
      </c>
      <c r="E160" s="60">
        <v>464.72</v>
      </c>
      <c r="F160" s="79">
        <v>2400</v>
      </c>
      <c r="G160" s="110">
        <v>0</v>
      </c>
      <c r="H160" s="79">
        <f>F160*(1-G160)</f>
        <v>2400</v>
      </c>
      <c r="I160" s="79">
        <f>H160*E160/25000</f>
        <v>44.613120000000002</v>
      </c>
      <c r="J160" s="11">
        <f>I160*B160</f>
        <v>0</v>
      </c>
    </row>
    <row r="161" spans="2:11" ht="14.1" customHeight="1" x14ac:dyDescent="0.2">
      <c r="B161" s="109">
        <v>0</v>
      </c>
      <c r="C161" s="5">
        <v>40</v>
      </c>
      <c r="D161" s="5" t="s">
        <v>107</v>
      </c>
      <c r="E161" s="60">
        <v>1130.4000000000001</v>
      </c>
      <c r="F161" s="79">
        <v>2400</v>
      </c>
      <c r="G161" s="16">
        <f>$G$160</f>
        <v>0</v>
      </c>
      <c r="H161" s="79">
        <f t="shared" ref="H161:H173" si="38">F161*(1-G161)</f>
        <v>2400</v>
      </c>
      <c r="I161" s="79">
        <f t="shared" ref="I161:I173" si="39">H161*E161/25000</f>
        <v>108.5184</v>
      </c>
      <c r="J161" s="11">
        <f t="shared" ref="J161:J173" si="40">I161*B161</f>
        <v>0</v>
      </c>
    </row>
    <row r="162" spans="2:11" ht="14.1" customHeight="1" x14ac:dyDescent="0.2">
      <c r="B162" s="109">
        <v>0</v>
      </c>
      <c r="C162" s="5">
        <v>50</v>
      </c>
      <c r="D162" s="5" t="s">
        <v>107</v>
      </c>
      <c r="E162" s="60">
        <v>1381.6000000000001</v>
      </c>
      <c r="F162" s="79">
        <v>2400</v>
      </c>
      <c r="G162" s="16">
        <f t="shared" ref="G162:G173" si="41">$G$160</f>
        <v>0</v>
      </c>
      <c r="H162" s="79">
        <f t="shared" si="38"/>
        <v>2400</v>
      </c>
      <c r="I162" s="79">
        <f t="shared" si="39"/>
        <v>132.63360000000003</v>
      </c>
      <c r="J162" s="11">
        <f t="shared" si="40"/>
        <v>0</v>
      </c>
    </row>
    <row r="163" spans="2:11" ht="14.1" customHeight="1" x14ac:dyDescent="0.2">
      <c r="B163" s="109">
        <v>0</v>
      </c>
      <c r="C163" s="5">
        <v>65</v>
      </c>
      <c r="D163" s="5" t="s">
        <v>107</v>
      </c>
      <c r="E163" s="60">
        <v>1733.28</v>
      </c>
      <c r="F163" s="79">
        <v>2400</v>
      </c>
      <c r="G163" s="16">
        <f t="shared" si="41"/>
        <v>0</v>
      </c>
      <c r="H163" s="79">
        <f t="shared" si="38"/>
        <v>2400</v>
      </c>
      <c r="I163" s="79">
        <f t="shared" si="39"/>
        <v>166.39488</v>
      </c>
      <c r="J163" s="11">
        <f t="shared" si="40"/>
        <v>0</v>
      </c>
    </row>
    <row r="164" spans="2:11" ht="14.1" customHeight="1" x14ac:dyDescent="0.2">
      <c r="B164" s="109">
        <v>0</v>
      </c>
      <c r="C164" s="5">
        <v>80</v>
      </c>
      <c r="D164" s="5" t="s">
        <v>107</v>
      </c>
      <c r="E164" s="60">
        <v>2110.08</v>
      </c>
      <c r="F164" s="79">
        <v>2400</v>
      </c>
      <c r="G164" s="16">
        <f t="shared" si="41"/>
        <v>0</v>
      </c>
      <c r="H164" s="79">
        <f t="shared" si="38"/>
        <v>2400</v>
      </c>
      <c r="I164" s="79">
        <f t="shared" si="39"/>
        <v>202.56768</v>
      </c>
      <c r="J164" s="11">
        <f t="shared" si="40"/>
        <v>0</v>
      </c>
    </row>
    <row r="165" spans="2:11" ht="14.1" customHeight="1" x14ac:dyDescent="0.2">
      <c r="B165" s="109">
        <v>0</v>
      </c>
      <c r="C165" s="5">
        <v>100</v>
      </c>
      <c r="D165" s="5" t="s">
        <v>108</v>
      </c>
      <c r="E165" s="60">
        <v>4031.76</v>
      </c>
      <c r="F165" s="79">
        <v>2400</v>
      </c>
      <c r="G165" s="16">
        <f t="shared" si="41"/>
        <v>0</v>
      </c>
      <c r="H165" s="79">
        <f t="shared" si="38"/>
        <v>2400</v>
      </c>
      <c r="I165" s="79">
        <f t="shared" si="39"/>
        <v>387.04896000000002</v>
      </c>
      <c r="J165" s="11">
        <f t="shared" si="40"/>
        <v>0</v>
      </c>
    </row>
    <row r="166" spans="2:11" ht="14.1" customHeight="1" x14ac:dyDescent="0.2">
      <c r="B166" s="109">
        <v>0</v>
      </c>
      <c r="C166" s="5">
        <v>125</v>
      </c>
      <c r="D166" s="5" t="s">
        <v>108</v>
      </c>
      <c r="E166" s="60">
        <v>4521.6000000000004</v>
      </c>
      <c r="F166" s="79">
        <v>2400</v>
      </c>
      <c r="G166" s="16">
        <f t="shared" si="41"/>
        <v>0</v>
      </c>
      <c r="H166" s="79">
        <f t="shared" si="38"/>
        <v>2400</v>
      </c>
      <c r="I166" s="79">
        <f t="shared" si="39"/>
        <v>434.0736</v>
      </c>
      <c r="J166" s="11">
        <f t="shared" si="40"/>
        <v>0</v>
      </c>
    </row>
    <row r="167" spans="2:11" ht="14.1" customHeight="1" x14ac:dyDescent="0.2">
      <c r="B167" s="109">
        <v>0</v>
      </c>
      <c r="C167" s="5">
        <v>150</v>
      </c>
      <c r="D167" s="5" t="s">
        <v>108</v>
      </c>
      <c r="E167" s="60">
        <v>5011.4400000000005</v>
      </c>
      <c r="F167" s="79">
        <v>2400</v>
      </c>
      <c r="G167" s="16">
        <f t="shared" si="41"/>
        <v>0</v>
      </c>
      <c r="H167" s="79">
        <f t="shared" si="38"/>
        <v>2400</v>
      </c>
      <c r="I167" s="79">
        <f t="shared" si="39"/>
        <v>481.09824000000009</v>
      </c>
      <c r="J167" s="11">
        <f t="shared" si="40"/>
        <v>0</v>
      </c>
    </row>
    <row r="168" spans="2:11" ht="14.1" customHeight="1" x14ac:dyDescent="0.2">
      <c r="B168" s="109">
        <v>0</v>
      </c>
      <c r="C168" s="5">
        <v>200</v>
      </c>
      <c r="D168" s="5" t="s">
        <v>108</v>
      </c>
      <c r="E168" s="60">
        <v>5953.4400000000005</v>
      </c>
      <c r="F168" s="79">
        <v>2400</v>
      </c>
      <c r="G168" s="16">
        <f t="shared" si="41"/>
        <v>0</v>
      </c>
      <c r="H168" s="79">
        <f t="shared" si="38"/>
        <v>2400</v>
      </c>
      <c r="I168" s="79">
        <f t="shared" si="39"/>
        <v>571.53024000000005</v>
      </c>
      <c r="J168" s="11">
        <f t="shared" si="40"/>
        <v>0</v>
      </c>
    </row>
    <row r="169" spans="2:11" ht="14.1" customHeight="1" x14ac:dyDescent="0.2">
      <c r="B169" s="109">
        <v>0</v>
      </c>
      <c r="C169" s="5">
        <v>250</v>
      </c>
      <c r="D169" s="5" t="s">
        <v>109</v>
      </c>
      <c r="E169" s="60">
        <v>9294.4</v>
      </c>
      <c r="F169" s="79">
        <v>2400</v>
      </c>
      <c r="G169" s="16">
        <f t="shared" si="41"/>
        <v>0</v>
      </c>
      <c r="H169" s="79">
        <f t="shared" si="38"/>
        <v>2400</v>
      </c>
      <c r="I169" s="79">
        <f t="shared" si="39"/>
        <v>892.26239999999996</v>
      </c>
      <c r="J169" s="11">
        <f t="shared" si="40"/>
        <v>0</v>
      </c>
    </row>
    <row r="170" spans="2:11" ht="14.1" customHeight="1" x14ac:dyDescent="0.2">
      <c r="B170" s="109">
        <v>0</v>
      </c>
      <c r="C170" s="5">
        <v>300</v>
      </c>
      <c r="D170" s="5" t="s">
        <v>110</v>
      </c>
      <c r="E170" s="60">
        <v>13188</v>
      </c>
      <c r="F170" s="79">
        <v>2400</v>
      </c>
      <c r="G170" s="16">
        <f t="shared" si="41"/>
        <v>0</v>
      </c>
      <c r="H170" s="79">
        <f t="shared" si="38"/>
        <v>2400</v>
      </c>
      <c r="I170" s="79">
        <f t="shared" si="39"/>
        <v>1266.048</v>
      </c>
      <c r="J170" s="11">
        <f t="shared" si="40"/>
        <v>0</v>
      </c>
    </row>
    <row r="171" spans="2:11" ht="14.1" customHeight="1" x14ac:dyDescent="0.2">
      <c r="B171" s="109">
        <v>0</v>
      </c>
      <c r="C171" s="5">
        <v>350</v>
      </c>
      <c r="D171" s="5" t="s">
        <v>111</v>
      </c>
      <c r="E171" s="60">
        <v>16956</v>
      </c>
      <c r="F171" s="79">
        <v>2400</v>
      </c>
      <c r="G171" s="16">
        <f t="shared" si="41"/>
        <v>0</v>
      </c>
      <c r="H171" s="79">
        <f t="shared" si="38"/>
        <v>2400</v>
      </c>
      <c r="I171" s="79">
        <f t="shared" si="39"/>
        <v>1627.7760000000001</v>
      </c>
      <c r="J171" s="11">
        <f t="shared" si="40"/>
        <v>0</v>
      </c>
    </row>
    <row r="172" spans="2:11" ht="14.1" customHeight="1" x14ac:dyDescent="0.2">
      <c r="B172" s="109">
        <v>0</v>
      </c>
      <c r="C172" s="5">
        <v>400</v>
      </c>
      <c r="D172" s="5" t="s">
        <v>112</v>
      </c>
      <c r="E172" s="60">
        <v>22243.760000000002</v>
      </c>
      <c r="F172" s="79">
        <v>2400</v>
      </c>
      <c r="G172" s="16">
        <f t="shared" si="41"/>
        <v>0</v>
      </c>
      <c r="H172" s="79">
        <f t="shared" si="38"/>
        <v>2400</v>
      </c>
      <c r="I172" s="79">
        <f t="shared" si="39"/>
        <v>2135.4009600000004</v>
      </c>
      <c r="J172" s="11">
        <f t="shared" si="40"/>
        <v>0</v>
      </c>
    </row>
    <row r="173" spans="2:11" ht="14.1" customHeight="1" x14ac:dyDescent="0.2">
      <c r="B173" s="109">
        <v>0</v>
      </c>
      <c r="C173" s="5">
        <v>450</v>
      </c>
      <c r="D173" s="5" t="s">
        <v>113</v>
      </c>
      <c r="E173" s="60">
        <v>27832.960000000003</v>
      </c>
      <c r="F173" s="79">
        <v>2400</v>
      </c>
      <c r="G173" s="16">
        <f t="shared" si="41"/>
        <v>0</v>
      </c>
      <c r="H173" s="79">
        <f t="shared" si="38"/>
        <v>2400</v>
      </c>
      <c r="I173" s="79">
        <f t="shared" si="39"/>
        <v>2671.9641600000004</v>
      </c>
      <c r="J173" s="11">
        <f t="shared" si="40"/>
        <v>0</v>
      </c>
    </row>
    <row r="174" spans="2:11" ht="14.1" customHeight="1" x14ac:dyDescent="0.2">
      <c r="H174" s="191" t="s">
        <v>12</v>
      </c>
      <c r="I174" s="191"/>
      <c r="J174" s="65">
        <f>SUM(J160:J173)</f>
        <v>0</v>
      </c>
    </row>
    <row r="175" spans="2:11" ht="14.1" customHeight="1" x14ac:dyDescent="0.2">
      <c r="H175" s="191" t="s">
        <v>27</v>
      </c>
      <c r="I175" s="191"/>
      <c r="J175" s="66">
        <f>(SUMPRODUCT(B160:B173,E160:E173)/25000)</f>
        <v>0</v>
      </c>
    </row>
    <row r="176" spans="2:11" ht="14.1" customHeight="1" x14ac:dyDescent="0.2">
      <c r="H176" s="9"/>
      <c r="I176" s="9"/>
      <c r="J176" s="9"/>
      <c r="K176" s="9"/>
    </row>
    <row r="177" spans="1:11" ht="14.1" customHeight="1" x14ac:dyDescent="0.2">
      <c r="B177" s="188" t="s">
        <v>224</v>
      </c>
      <c r="C177" s="188"/>
      <c r="D177" s="188"/>
      <c r="H177" s="9"/>
      <c r="I177" s="9"/>
      <c r="J177" s="9"/>
      <c r="K177" s="9"/>
    </row>
    <row r="179" spans="1:11" s="9" customFormat="1" ht="30" customHeight="1" x14ac:dyDescent="0.2">
      <c r="A179" s="193" t="s">
        <v>34</v>
      </c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</row>
    <row r="180" spans="1:11" ht="14.1" customHeight="1" x14ac:dyDescent="0.2">
      <c r="B180" s="23"/>
      <c r="C180" s="2"/>
      <c r="G180" s="23"/>
      <c r="H180" s="23"/>
      <c r="I180" s="23"/>
      <c r="J180" s="12"/>
    </row>
    <row r="181" spans="1:11" ht="14.1" customHeight="1" x14ac:dyDescent="0.2">
      <c r="B181" s="23"/>
      <c r="C181" s="2"/>
      <c r="G181" s="192" t="s">
        <v>32</v>
      </c>
      <c r="H181" s="192"/>
      <c r="I181" s="192"/>
      <c r="J181" s="12"/>
    </row>
    <row r="182" spans="1:11" ht="14.1" customHeight="1" x14ac:dyDescent="0.2">
      <c r="B182" s="23"/>
      <c r="C182" s="3"/>
      <c r="D182" s="23"/>
      <c r="E182" s="23"/>
      <c r="F182" s="23"/>
      <c r="G182" s="190" t="s">
        <v>33</v>
      </c>
      <c r="H182" s="190"/>
      <c r="I182" s="190"/>
      <c r="J182" s="12"/>
    </row>
    <row r="183" spans="1:11" ht="14.1" customHeight="1" x14ac:dyDescent="0.2">
      <c r="B183" s="23"/>
      <c r="C183" s="3"/>
      <c r="D183" s="23"/>
      <c r="E183" s="23"/>
      <c r="F183" s="23"/>
      <c r="G183" s="190" t="s">
        <v>10</v>
      </c>
      <c r="H183" s="190"/>
      <c r="I183" s="190"/>
      <c r="J183" s="23"/>
    </row>
    <row r="184" spans="1:11" ht="14.1" customHeight="1" x14ac:dyDescent="0.2">
      <c r="B184" s="23"/>
      <c r="C184" s="3"/>
      <c r="D184" s="23"/>
      <c r="E184" s="23"/>
      <c r="F184" s="23"/>
      <c r="G184" s="190" t="s">
        <v>11</v>
      </c>
      <c r="H184" s="190"/>
      <c r="I184" s="190"/>
      <c r="J184" s="23"/>
    </row>
    <row r="185" spans="1:11" ht="14.1" customHeight="1" x14ac:dyDescent="0.2">
      <c r="B185" s="23"/>
      <c r="C185" s="3"/>
      <c r="D185" s="23"/>
      <c r="E185" s="23"/>
      <c r="F185" s="23"/>
      <c r="G185" s="190"/>
      <c r="H185" s="190"/>
      <c r="I185" s="190"/>
      <c r="J185" s="23"/>
    </row>
    <row r="186" spans="1:11" ht="20.100000000000001" customHeight="1" x14ac:dyDescent="0.2">
      <c r="B186" s="23"/>
      <c r="C186" s="194" t="s">
        <v>35</v>
      </c>
      <c r="D186" s="194"/>
      <c r="E186" s="194"/>
      <c r="F186" s="194"/>
      <c r="G186" s="194"/>
      <c r="H186" s="194"/>
      <c r="I186" s="194"/>
      <c r="J186" s="9"/>
    </row>
    <row r="187" spans="1:11" ht="12.75" x14ac:dyDescent="0.2">
      <c r="B187" s="23"/>
      <c r="C187" s="189" t="s">
        <v>5</v>
      </c>
      <c r="D187" s="189" t="s">
        <v>0</v>
      </c>
      <c r="E187" s="189" t="s">
        <v>39</v>
      </c>
      <c r="F187" s="189"/>
      <c r="G187" s="189"/>
      <c r="H187" s="189"/>
      <c r="I187" s="189" t="s">
        <v>36</v>
      </c>
      <c r="J187" s="12"/>
    </row>
    <row r="188" spans="1:11" ht="14.1" customHeight="1" x14ac:dyDescent="0.2">
      <c r="B188" s="23"/>
      <c r="C188" s="189"/>
      <c r="D188" s="189"/>
      <c r="E188" s="78" t="s">
        <v>1</v>
      </c>
      <c r="F188" s="78" t="s">
        <v>2</v>
      </c>
      <c r="G188" s="78" t="s">
        <v>3</v>
      </c>
      <c r="H188" s="78" t="s">
        <v>4</v>
      </c>
      <c r="I188" s="189"/>
      <c r="J188" s="12"/>
    </row>
    <row r="189" spans="1:11" ht="14.1" customHeight="1" x14ac:dyDescent="0.2">
      <c r="B189" s="23"/>
      <c r="C189" s="109">
        <v>0</v>
      </c>
      <c r="D189" s="5">
        <v>32</v>
      </c>
      <c r="E189" s="5">
        <v>1</v>
      </c>
      <c r="F189" s="79">
        <v>84</v>
      </c>
      <c r="G189" s="111">
        <v>0</v>
      </c>
      <c r="H189" s="79">
        <f>F189-(F189*G189)</f>
        <v>84</v>
      </c>
      <c r="I189" s="79">
        <f>H189*C189</f>
        <v>0</v>
      </c>
      <c r="J189" s="12"/>
    </row>
    <row r="190" spans="1:11" ht="14.1" customHeight="1" x14ac:dyDescent="0.2">
      <c r="B190" s="23"/>
      <c r="C190" s="109">
        <v>0</v>
      </c>
      <c r="D190" s="5">
        <v>40</v>
      </c>
      <c r="E190" s="5">
        <v>1</v>
      </c>
      <c r="F190" s="79">
        <v>85</v>
      </c>
      <c r="G190" s="82">
        <f t="shared" ref="G190:G201" si="42">$G$189</f>
        <v>0</v>
      </c>
      <c r="H190" s="79">
        <f t="shared" ref="H190:H196" si="43">F190-(F190*G190)</f>
        <v>85</v>
      </c>
      <c r="I190" s="79">
        <f t="shared" ref="I190:I200" si="44">H190*C190</f>
        <v>0</v>
      </c>
      <c r="J190" s="12"/>
    </row>
    <row r="191" spans="1:11" ht="14.1" customHeight="1" x14ac:dyDescent="0.2">
      <c r="B191" s="23"/>
      <c r="C191" s="109">
        <v>0</v>
      </c>
      <c r="D191" s="5">
        <v>55</v>
      </c>
      <c r="E191" s="5">
        <v>1</v>
      </c>
      <c r="F191" s="79">
        <v>86.5</v>
      </c>
      <c r="G191" s="82">
        <f t="shared" si="42"/>
        <v>0</v>
      </c>
      <c r="H191" s="79">
        <f t="shared" si="43"/>
        <v>86.5</v>
      </c>
      <c r="I191" s="79">
        <f t="shared" si="44"/>
        <v>0</v>
      </c>
      <c r="J191" s="12"/>
    </row>
    <row r="192" spans="1:11" ht="14.1" customHeight="1" x14ac:dyDescent="0.2">
      <c r="B192" s="23"/>
      <c r="C192" s="109">
        <v>0</v>
      </c>
      <c r="D192" s="5">
        <v>63</v>
      </c>
      <c r="E192" s="5">
        <v>1</v>
      </c>
      <c r="F192" s="79">
        <v>98</v>
      </c>
      <c r="G192" s="82">
        <f t="shared" si="42"/>
        <v>0</v>
      </c>
      <c r="H192" s="79">
        <f t="shared" si="43"/>
        <v>98</v>
      </c>
      <c r="I192" s="79">
        <f t="shared" si="44"/>
        <v>0</v>
      </c>
      <c r="J192" s="12"/>
    </row>
    <row r="193" spans="2:10" ht="14.1" customHeight="1" x14ac:dyDescent="0.2">
      <c r="B193" s="23"/>
      <c r="C193" s="109">
        <v>0</v>
      </c>
      <c r="D193" s="5">
        <v>75</v>
      </c>
      <c r="E193" s="5">
        <v>1</v>
      </c>
      <c r="F193" s="79">
        <v>110</v>
      </c>
      <c r="G193" s="82">
        <f t="shared" si="42"/>
        <v>0</v>
      </c>
      <c r="H193" s="79">
        <f t="shared" si="43"/>
        <v>110</v>
      </c>
      <c r="I193" s="79">
        <f t="shared" si="44"/>
        <v>0</v>
      </c>
      <c r="J193" s="12"/>
    </row>
    <row r="194" spans="2:10" ht="14.1" customHeight="1" x14ac:dyDescent="0.2">
      <c r="B194" s="23"/>
      <c r="C194" s="109">
        <v>0</v>
      </c>
      <c r="D194" s="5">
        <v>82</v>
      </c>
      <c r="E194" s="5">
        <v>1</v>
      </c>
      <c r="F194" s="79">
        <v>115</v>
      </c>
      <c r="G194" s="82">
        <f t="shared" si="42"/>
        <v>0</v>
      </c>
      <c r="H194" s="79">
        <f t="shared" si="43"/>
        <v>115</v>
      </c>
      <c r="I194" s="79">
        <f t="shared" si="44"/>
        <v>0</v>
      </c>
      <c r="J194" s="12"/>
    </row>
    <row r="195" spans="2:10" ht="14.1" customHeight="1" x14ac:dyDescent="0.2">
      <c r="B195" s="23"/>
      <c r="C195" s="109">
        <v>0</v>
      </c>
      <c r="D195" s="5">
        <v>90</v>
      </c>
      <c r="E195" s="5">
        <v>1</v>
      </c>
      <c r="F195" s="79">
        <v>124</v>
      </c>
      <c r="G195" s="82">
        <f t="shared" si="42"/>
        <v>0</v>
      </c>
      <c r="H195" s="79">
        <f t="shared" si="43"/>
        <v>124</v>
      </c>
      <c r="I195" s="79">
        <f t="shared" si="44"/>
        <v>0</v>
      </c>
      <c r="J195" s="12"/>
    </row>
    <row r="196" spans="2:10" ht="14.1" customHeight="1" x14ac:dyDescent="0.2">
      <c r="B196" s="23"/>
      <c r="C196" s="109">
        <v>0</v>
      </c>
      <c r="D196" s="5">
        <v>110</v>
      </c>
      <c r="E196" s="5">
        <v>1</v>
      </c>
      <c r="F196" s="79">
        <v>139</v>
      </c>
      <c r="G196" s="82">
        <f t="shared" si="42"/>
        <v>0</v>
      </c>
      <c r="H196" s="79">
        <f t="shared" si="43"/>
        <v>139</v>
      </c>
      <c r="I196" s="79">
        <f t="shared" si="44"/>
        <v>0</v>
      </c>
      <c r="J196" s="12"/>
    </row>
    <row r="197" spans="2:10" ht="14.1" customHeight="1" x14ac:dyDescent="0.2">
      <c r="B197" s="23"/>
      <c r="C197" s="109">
        <v>0</v>
      </c>
      <c r="D197" s="5">
        <v>125</v>
      </c>
      <c r="E197" s="5">
        <v>1</v>
      </c>
      <c r="F197" s="79">
        <v>192</v>
      </c>
      <c r="G197" s="82">
        <f t="shared" si="42"/>
        <v>0</v>
      </c>
      <c r="H197" s="79">
        <f t="shared" ref="H197:H201" si="45">F197-(F197*G197)</f>
        <v>192</v>
      </c>
      <c r="I197" s="79">
        <f t="shared" si="44"/>
        <v>0</v>
      </c>
      <c r="J197" s="12"/>
    </row>
    <row r="198" spans="2:10" ht="14.1" customHeight="1" x14ac:dyDescent="0.2">
      <c r="B198" s="23"/>
      <c r="C198" s="109">
        <v>0</v>
      </c>
      <c r="D198" s="5">
        <v>140</v>
      </c>
      <c r="E198" s="5">
        <v>1</v>
      </c>
      <c r="F198" s="79">
        <v>260</v>
      </c>
      <c r="G198" s="82">
        <f t="shared" si="42"/>
        <v>0</v>
      </c>
      <c r="H198" s="79">
        <f t="shared" si="45"/>
        <v>260</v>
      </c>
      <c r="I198" s="79">
        <f t="shared" si="44"/>
        <v>0</v>
      </c>
      <c r="J198" s="12"/>
    </row>
    <row r="199" spans="2:10" ht="14.1" customHeight="1" x14ac:dyDescent="0.2">
      <c r="B199" s="23"/>
      <c r="C199" s="109">
        <v>0</v>
      </c>
      <c r="D199" s="5">
        <v>160</v>
      </c>
      <c r="E199" s="5">
        <v>1</v>
      </c>
      <c r="F199" s="79">
        <v>295</v>
      </c>
      <c r="G199" s="82">
        <f t="shared" si="42"/>
        <v>0</v>
      </c>
      <c r="H199" s="79">
        <f t="shared" si="45"/>
        <v>295</v>
      </c>
      <c r="I199" s="79">
        <f t="shared" si="44"/>
        <v>0</v>
      </c>
      <c r="J199" s="12"/>
    </row>
    <row r="200" spans="2:10" ht="14.1" customHeight="1" x14ac:dyDescent="0.2">
      <c r="B200" s="23"/>
      <c r="C200" s="109">
        <v>0</v>
      </c>
      <c r="D200" s="5">
        <v>200</v>
      </c>
      <c r="E200" s="5">
        <v>1</v>
      </c>
      <c r="F200" s="79">
        <v>590</v>
      </c>
      <c r="G200" s="82">
        <f t="shared" si="42"/>
        <v>0</v>
      </c>
      <c r="H200" s="79">
        <f t="shared" si="45"/>
        <v>590</v>
      </c>
      <c r="I200" s="79">
        <f t="shared" si="44"/>
        <v>0</v>
      </c>
      <c r="J200" s="12"/>
    </row>
    <row r="201" spans="2:10" ht="14.1" customHeight="1" x14ac:dyDescent="0.2">
      <c r="B201" s="23"/>
      <c r="C201" s="109">
        <v>0</v>
      </c>
      <c r="D201" s="5">
        <v>250</v>
      </c>
      <c r="E201" s="5">
        <v>1</v>
      </c>
      <c r="F201" s="79">
        <v>890</v>
      </c>
      <c r="G201" s="82">
        <f t="shared" si="42"/>
        <v>0</v>
      </c>
      <c r="H201" s="79">
        <f t="shared" si="45"/>
        <v>890</v>
      </c>
      <c r="I201" s="79">
        <f>H201*C201</f>
        <v>0</v>
      </c>
      <c r="J201" s="12"/>
    </row>
    <row r="202" spans="2:10" ht="14.1" customHeight="1" x14ac:dyDescent="0.2">
      <c r="B202" s="23"/>
      <c r="C202" s="2"/>
      <c r="G202" s="191" t="s">
        <v>12</v>
      </c>
      <c r="H202" s="191"/>
      <c r="I202" s="65">
        <f>SUM(I189:I201)</f>
        <v>0</v>
      </c>
      <c r="J202" s="12"/>
    </row>
    <row r="203" spans="2:10" ht="14.1" customHeight="1" x14ac:dyDescent="0.2">
      <c r="B203" s="23"/>
      <c r="C203" s="2"/>
      <c r="G203" s="191" t="s">
        <v>37</v>
      </c>
      <c r="H203" s="191"/>
      <c r="I203" s="66">
        <f>SUM(C189:C201)</f>
        <v>0</v>
      </c>
      <c r="J203" s="12"/>
    </row>
    <row r="204" spans="2:10" s="9" customFormat="1" ht="14.1" customHeight="1" x14ac:dyDescent="0.2">
      <c r="B204" s="188" t="s">
        <v>224</v>
      </c>
      <c r="C204" s="188"/>
      <c r="D204" s="188"/>
    </row>
    <row r="205" spans="2:10" ht="14.1" customHeight="1" x14ac:dyDescent="0.2">
      <c r="B205" s="23"/>
      <c r="C205" s="2"/>
      <c r="G205" s="12"/>
      <c r="I205" s="2"/>
      <c r="J205" s="12"/>
    </row>
    <row r="206" spans="2:10" ht="20.100000000000001" customHeight="1" x14ac:dyDescent="0.2">
      <c r="B206" s="23"/>
      <c r="C206" s="194" t="s">
        <v>38</v>
      </c>
      <c r="D206" s="194"/>
      <c r="E206" s="194"/>
      <c r="F206" s="194"/>
      <c r="G206" s="194"/>
      <c r="H206" s="194"/>
      <c r="I206" s="194"/>
      <c r="J206" s="12"/>
    </row>
    <row r="207" spans="2:10" ht="14.1" customHeight="1" x14ac:dyDescent="0.2">
      <c r="B207" s="23"/>
      <c r="C207" s="189" t="s">
        <v>5</v>
      </c>
      <c r="D207" s="189" t="s">
        <v>0</v>
      </c>
      <c r="E207" s="189" t="s">
        <v>39</v>
      </c>
      <c r="F207" s="189"/>
      <c r="G207" s="189"/>
      <c r="H207" s="189"/>
      <c r="I207" s="189" t="s">
        <v>36</v>
      </c>
      <c r="J207" s="12"/>
    </row>
    <row r="208" spans="2:10" ht="14.1" customHeight="1" x14ac:dyDescent="0.2">
      <c r="B208" s="23"/>
      <c r="C208" s="189"/>
      <c r="D208" s="189"/>
      <c r="E208" s="78" t="s">
        <v>1</v>
      </c>
      <c r="F208" s="78" t="s">
        <v>2</v>
      </c>
      <c r="G208" s="78" t="s">
        <v>3</v>
      </c>
      <c r="H208" s="78" t="s">
        <v>4</v>
      </c>
      <c r="I208" s="189"/>
      <c r="J208" s="12"/>
    </row>
    <row r="209" spans="2:10" ht="14.1" customHeight="1" x14ac:dyDescent="0.2">
      <c r="B209" s="23"/>
      <c r="C209" s="109">
        <v>0</v>
      </c>
      <c r="D209" s="5">
        <v>32</v>
      </c>
      <c r="E209" s="5">
        <v>2</v>
      </c>
      <c r="F209" s="79">
        <v>168</v>
      </c>
      <c r="G209" s="111">
        <v>0</v>
      </c>
      <c r="H209" s="79">
        <f>F209-(F209*G209)</f>
        <v>168</v>
      </c>
      <c r="I209" s="79">
        <f>H209*C209</f>
        <v>0</v>
      </c>
      <c r="J209" s="12"/>
    </row>
    <row r="210" spans="2:10" ht="14.1" customHeight="1" x14ac:dyDescent="0.2">
      <c r="B210" s="23"/>
      <c r="C210" s="109">
        <v>0</v>
      </c>
      <c r="D210" s="5">
        <v>40</v>
      </c>
      <c r="E210" s="5">
        <v>2</v>
      </c>
      <c r="F210" s="79">
        <v>170</v>
      </c>
      <c r="G210" s="82">
        <f t="shared" ref="G210:G221" si="46">$G$209</f>
        <v>0</v>
      </c>
      <c r="H210" s="79">
        <f t="shared" ref="H210:H221" si="47">F210-(F210*G210)</f>
        <v>170</v>
      </c>
      <c r="I210" s="79">
        <f t="shared" ref="I210:I220" si="48">H210*C210</f>
        <v>0</v>
      </c>
      <c r="J210" s="12"/>
    </row>
    <row r="211" spans="2:10" ht="14.1" customHeight="1" x14ac:dyDescent="0.2">
      <c r="B211" s="23"/>
      <c r="C211" s="109">
        <v>0</v>
      </c>
      <c r="D211" s="5">
        <v>55</v>
      </c>
      <c r="E211" s="5">
        <v>2</v>
      </c>
      <c r="F211" s="79">
        <v>173</v>
      </c>
      <c r="G211" s="82">
        <f t="shared" si="46"/>
        <v>0</v>
      </c>
      <c r="H211" s="79">
        <f t="shared" si="47"/>
        <v>173</v>
      </c>
      <c r="I211" s="79">
        <f t="shared" si="48"/>
        <v>0</v>
      </c>
      <c r="J211" s="12"/>
    </row>
    <row r="212" spans="2:10" ht="14.1" customHeight="1" x14ac:dyDescent="0.2">
      <c r="B212" s="23"/>
      <c r="C212" s="109">
        <v>0</v>
      </c>
      <c r="D212" s="5">
        <v>63</v>
      </c>
      <c r="E212" s="5">
        <v>2</v>
      </c>
      <c r="F212" s="79">
        <v>196</v>
      </c>
      <c r="G212" s="82">
        <f t="shared" si="46"/>
        <v>0</v>
      </c>
      <c r="H212" s="79">
        <f t="shared" si="47"/>
        <v>196</v>
      </c>
      <c r="I212" s="79">
        <f t="shared" si="48"/>
        <v>0</v>
      </c>
      <c r="J212" s="12"/>
    </row>
    <row r="213" spans="2:10" ht="14.1" customHeight="1" x14ac:dyDescent="0.2">
      <c r="B213" s="23"/>
      <c r="C213" s="109">
        <v>0</v>
      </c>
      <c r="D213" s="5">
        <v>75</v>
      </c>
      <c r="E213" s="5">
        <v>2</v>
      </c>
      <c r="F213" s="79">
        <v>220</v>
      </c>
      <c r="G213" s="82">
        <f t="shared" si="46"/>
        <v>0</v>
      </c>
      <c r="H213" s="79">
        <f t="shared" si="47"/>
        <v>220</v>
      </c>
      <c r="I213" s="79">
        <f t="shared" si="48"/>
        <v>0</v>
      </c>
      <c r="J213" s="12"/>
    </row>
    <row r="214" spans="2:10" ht="14.1" customHeight="1" x14ac:dyDescent="0.2">
      <c r="B214" s="23"/>
      <c r="C214" s="109">
        <v>0</v>
      </c>
      <c r="D214" s="5">
        <v>82</v>
      </c>
      <c r="E214" s="5">
        <v>2</v>
      </c>
      <c r="F214" s="79">
        <v>230</v>
      </c>
      <c r="G214" s="82">
        <f t="shared" si="46"/>
        <v>0</v>
      </c>
      <c r="H214" s="79">
        <f t="shared" si="47"/>
        <v>230</v>
      </c>
      <c r="I214" s="79">
        <f t="shared" si="48"/>
        <v>0</v>
      </c>
      <c r="J214" s="12"/>
    </row>
    <row r="215" spans="2:10" ht="14.1" customHeight="1" x14ac:dyDescent="0.2">
      <c r="B215" s="23"/>
      <c r="C215" s="109">
        <v>0</v>
      </c>
      <c r="D215" s="5">
        <v>90</v>
      </c>
      <c r="E215" s="5">
        <v>2</v>
      </c>
      <c r="F215" s="79">
        <v>248</v>
      </c>
      <c r="G215" s="82">
        <f t="shared" si="46"/>
        <v>0</v>
      </c>
      <c r="H215" s="79">
        <f t="shared" si="47"/>
        <v>248</v>
      </c>
      <c r="I215" s="79">
        <f t="shared" si="48"/>
        <v>0</v>
      </c>
      <c r="J215" s="12"/>
    </row>
    <row r="216" spans="2:10" ht="14.1" customHeight="1" x14ac:dyDescent="0.2">
      <c r="B216" s="23"/>
      <c r="C216" s="109">
        <v>0</v>
      </c>
      <c r="D216" s="5">
        <v>110</v>
      </c>
      <c r="E216" s="5">
        <v>2</v>
      </c>
      <c r="F216" s="79">
        <v>278</v>
      </c>
      <c r="G216" s="82">
        <f t="shared" si="46"/>
        <v>0</v>
      </c>
      <c r="H216" s="79">
        <f t="shared" si="47"/>
        <v>278</v>
      </c>
      <c r="I216" s="79">
        <f t="shared" si="48"/>
        <v>0</v>
      </c>
      <c r="J216" s="12"/>
    </row>
    <row r="217" spans="2:10" ht="14.1" customHeight="1" x14ac:dyDescent="0.2">
      <c r="B217" s="23"/>
      <c r="C217" s="109">
        <v>0</v>
      </c>
      <c r="D217" s="5">
        <v>125</v>
      </c>
      <c r="E217" s="5">
        <v>2</v>
      </c>
      <c r="F217" s="79">
        <v>384</v>
      </c>
      <c r="G217" s="82">
        <f t="shared" si="46"/>
        <v>0</v>
      </c>
      <c r="H217" s="79">
        <f t="shared" si="47"/>
        <v>384</v>
      </c>
      <c r="I217" s="79">
        <f t="shared" si="48"/>
        <v>0</v>
      </c>
      <c r="J217" s="12"/>
    </row>
    <row r="218" spans="2:10" ht="14.1" customHeight="1" x14ac:dyDescent="0.2">
      <c r="B218" s="23"/>
      <c r="C218" s="109">
        <v>0</v>
      </c>
      <c r="D218" s="5">
        <v>140</v>
      </c>
      <c r="E218" s="5">
        <v>2</v>
      </c>
      <c r="F218" s="79">
        <v>520</v>
      </c>
      <c r="G218" s="82">
        <f t="shared" si="46"/>
        <v>0</v>
      </c>
      <c r="H218" s="79">
        <f t="shared" si="47"/>
        <v>520</v>
      </c>
      <c r="I218" s="79">
        <f t="shared" si="48"/>
        <v>0</v>
      </c>
      <c r="J218" s="12"/>
    </row>
    <row r="219" spans="2:10" ht="14.1" customHeight="1" x14ac:dyDescent="0.2">
      <c r="B219" s="23"/>
      <c r="C219" s="109">
        <v>0</v>
      </c>
      <c r="D219" s="5">
        <v>160</v>
      </c>
      <c r="E219" s="5">
        <v>2</v>
      </c>
      <c r="F219" s="79">
        <v>590</v>
      </c>
      <c r="G219" s="82">
        <f t="shared" si="46"/>
        <v>0</v>
      </c>
      <c r="H219" s="79">
        <f t="shared" si="47"/>
        <v>590</v>
      </c>
      <c r="I219" s="79">
        <f t="shared" si="48"/>
        <v>0</v>
      </c>
      <c r="J219" s="12"/>
    </row>
    <row r="220" spans="2:10" ht="14.1" customHeight="1" x14ac:dyDescent="0.2">
      <c r="B220" s="23"/>
      <c r="C220" s="109">
        <v>0</v>
      </c>
      <c r="D220" s="5">
        <v>200</v>
      </c>
      <c r="E220" s="5">
        <v>2</v>
      </c>
      <c r="F220" s="79">
        <v>1180</v>
      </c>
      <c r="G220" s="82">
        <f t="shared" si="46"/>
        <v>0</v>
      </c>
      <c r="H220" s="79">
        <f t="shared" si="47"/>
        <v>1180</v>
      </c>
      <c r="I220" s="79">
        <f t="shared" si="48"/>
        <v>0</v>
      </c>
      <c r="J220" s="12"/>
    </row>
    <row r="221" spans="2:10" ht="14.1" customHeight="1" x14ac:dyDescent="0.2">
      <c r="B221" s="23"/>
      <c r="C221" s="109">
        <v>0</v>
      </c>
      <c r="D221" s="5">
        <v>250</v>
      </c>
      <c r="E221" s="5">
        <v>2</v>
      </c>
      <c r="F221" s="79">
        <v>1780</v>
      </c>
      <c r="G221" s="82">
        <f t="shared" si="46"/>
        <v>0</v>
      </c>
      <c r="H221" s="79">
        <f t="shared" si="47"/>
        <v>1780</v>
      </c>
      <c r="I221" s="79">
        <f>H221*C221</f>
        <v>0</v>
      </c>
      <c r="J221" s="12"/>
    </row>
    <row r="222" spans="2:10" ht="14.1" customHeight="1" x14ac:dyDescent="0.2">
      <c r="B222" s="23"/>
      <c r="C222" s="2"/>
      <c r="G222" s="191" t="s">
        <v>12</v>
      </c>
      <c r="H222" s="191"/>
      <c r="I222" s="65">
        <f>SUM(I209:I221)</f>
        <v>0</v>
      </c>
      <c r="J222" s="12"/>
    </row>
    <row r="223" spans="2:10" ht="14.1" customHeight="1" x14ac:dyDescent="0.2">
      <c r="B223" s="188" t="s">
        <v>224</v>
      </c>
      <c r="C223" s="188"/>
      <c r="D223" s="188"/>
      <c r="G223" s="191" t="s">
        <v>37</v>
      </c>
      <c r="H223" s="191"/>
      <c r="I223" s="66">
        <f>SUM(C209:C221)</f>
        <v>0</v>
      </c>
      <c r="J223" s="12"/>
    </row>
  </sheetData>
  <sheetProtection password="8959" sheet="1" objects="1" scenarios="1"/>
  <mergeCells count="107">
    <mergeCell ref="B7:E7"/>
    <mergeCell ref="A20:K20"/>
    <mergeCell ref="G66:I66"/>
    <mergeCell ref="A64:K64"/>
    <mergeCell ref="G38:H38"/>
    <mergeCell ref="G39:H39"/>
    <mergeCell ref="G22:I22"/>
    <mergeCell ref="E28:H28"/>
    <mergeCell ref="C28:C29"/>
    <mergeCell ref="D28:D29"/>
    <mergeCell ref="I28:I29"/>
    <mergeCell ref="C27:I27"/>
    <mergeCell ref="B40:D40"/>
    <mergeCell ref="F17:G17"/>
    <mergeCell ref="A42:K42"/>
    <mergeCell ref="G44:I44"/>
    <mergeCell ref="I50:I51"/>
    <mergeCell ref="G10:H10"/>
    <mergeCell ref="J73:J74"/>
    <mergeCell ref="H88:I88"/>
    <mergeCell ref="H89:I89"/>
    <mergeCell ref="B90:D90"/>
    <mergeCell ref="B72:J72"/>
    <mergeCell ref="B73:B74"/>
    <mergeCell ref="C73:C74"/>
    <mergeCell ref="I73:I74"/>
    <mergeCell ref="D73:H73"/>
    <mergeCell ref="H155:I155"/>
    <mergeCell ref="C93:C94"/>
    <mergeCell ref="D93:H93"/>
    <mergeCell ref="I93:I94"/>
    <mergeCell ref="J93:J94"/>
    <mergeCell ref="H112:I112"/>
    <mergeCell ref="H113:I113"/>
    <mergeCell ref="B116:J116"/>
    <mergeCell ref="B117:B118"/>
    <mergeCell ref="C117:C118"/>
    <mergeCell ref="D117:H117"/>
    <mergeCell ref="I117:I118"/>
    <mergeCell ref="J117:J118"/>
    <mergeCell ref="B114:D114"/>
    <mergeCell ref="B135:D135"/>
    <mergeCell ref="B155:D155"/>
    <mergeCell ref="H134:I134"/>
    <mergeCell ref="G222:H222"/>
    <mergeCell ref="G223:H223"/>
    <mergeCell ref="G203:H203"/>
    <mergeCell ref="C186:I186"/>
    <mergeCell ref="C206:I206"/>
    <mergeCell ref="C207:C208"/>
    <mergeCell ref="D207:D208"/>
    <mergeCell ref="E207:H207"/>
    <mergeCell ref="I207:I208"/>
    <mergeCell ref="C187:C188"/>
    <mergeCell ref="D187:D188"/>
    <mergeCell ref="E187:H187"/>
    <mergeCell ref="I187:I188"/>
    <mergeCell ref="G202:H202"/>
    <mergeCell ref="B223:D223"/>
    <mergeCell ref="B92:J92"/>
    <mergeCell ref="B93:B94"/>
    <mergeCell ref="B8:E8"/>
    <mergeCell ref="B10:E10"/>
    <mergeCell ref="B11:E11"/>
    <mergeCell ref="B12:E12"/>
    <mergeCell ref="B13:E13"/>
    <mergeCell ref="B14:E14"/>
    <mergeCell ref="B15:E15"/>
    <mergeCell ref="B16:E16"/>
    <mergeCell ref="B17:E17"/>
    <mergeCell ref="G60:H60"/>
    <mergeCell ref="G61:H61"/>
    <mergeCell ref="B62:D62"/>
    <mergeCell ref="B18:E18"/>
    <mergeCell ref="B9:E9"/>
    <mergeCell ref="G9:H9"/>
    <mergeCell ref="G11:H11"/>
    <mergeCell ref="G12:H12"/>
    <mergeCell ref="G13:H13"/>
    <mergeCell ref="C49:I49"/>
    <mergeCell ref="C50:C51"/>
    <mergeCell ref="D50:D51"/>
    <mergeCell ref="E50:H50"/>
    <mergeCell ref="B177:D177"/>
    <mergeCell ref="B204:D204"/>
    <mergeCell ref="D158:H158"/>
    <mergeCell ref="G182:I182"/>
    <mergeCell ref="G183:I183"/>
    <mergeCell ref="G184:I184"/>
    <mergeCell ref="G185:I185"/>
    <mergeCell ref="H135:I135"/>
    <mergeCell ref="G181:I181"/>
    <mergeCell ref="A179:K179"/>
    <mergeCell ref="B137:J137"/>
    <mergeCell ref="B138:B139"/>
    <mergeCell ref="C138:C139"/>
    <mergeCell ref="H174:I174"/>
    <mergeCell ref="H175:I175"/>
    <mergeCell ref="B157:J157"/>
    <mergeCell ref="B158:B159"/>
    <mergeCell ref="C158:C159"/>
    <mergeCell ref="I158:I159"/>
    <mergeCell ref="J158:J159"/>
    <mergeCell ref="D138:H138"/>
    <mergeCell ref="I138:I139"/>
    <mergeCell ref="J138:J139"/>
    <mergeCell ref="H154:I154"/>
  </mergeCells>
  <hyperlinks>
    <hyperlink ref="B8" location="'RURY PALNE'!I33" display="ALFA UNIWRAP opaski"/>
    <hyperlink ref="B10" location="'RURY PALNE'!K60" display="ALFA UNIWRAP taśma"/>
    <hyperlink ref="B11" location="'RURY PALNE'!K60" display="  rury PVC, PP do EI 240"/>
    <hyperlink ref="B12" location="'RURY PALNE'!K83" display="  rury PVC do EI 180"/>
    <hyperlink ref="B13" location="'RURY PALNE'!K104" display="  rury PE do EI 180"/>
    <hyperlink ref="B16" location="'RURY PALNE'!J130" display="ALFA COLLAR"/>
    <hyperlink ref="B17" location="'RURY PALNE'!J130" display="  strop"/>
    <hyperlink ref="B18" location="'RURY PALNE'!J150" display="  ściana"/>
    <hyperlink ref="B11:D11" location="'RURY PALNE'!K60" display="rury PVC, PP do EI 240"/>
    <hyperlink ref="B12:D12" location="'RURY PALNE'!K83" display="rury PVC do EI 180"/>
    <hyperlink ref="B13:D13" location="'RURY PALNE'!K104" display="rury PE do EI 180"/>
    <hyperlink ref="B17:D17" location="'RURY PALNE'!J130" display="strop"/>
    <hyperlink ref="B18:D18" location="'RURY PALNE'!J150" display="ściana"/>
    <hyperlink ref="B8:E8" location="'RURY PALNE'!A40" display="ALFA UNIWRAP opaski"/>
    <hyperlink ref="B10:E10" location="'RURY PALNE'!A89" display="ALFA UNIWRAP taśma"/>
    <hyperlink ref="B40" location="'RURY PALNE'!A1" display="POWRÓT DO WYBORU SYSTEMU"/>
    <hyperlink ref="B90" location="'RURY PALNE'!A1" display="POWRÓT DO WYBORU SYSTEMU"/>
    <hyperlink ref="B114" location="'RURY PALNE'!A1" display="POWRÓT DO WYBORU SYSTEMU"/>
    <hyperlink ref="B135" location="'RURY PALNE'!A1" display="POWRÓT DO WYBORU SYSTEMU"/>
    <hyperlink ref="B155" location="'RURY PALNE'!A1" display="POWRÓT DO WYBORU SYSTEMU"/>
    <hyperlink ref="B177" location="'RURY PALNE'!A1" display="POWRÓT DO WYBORU SYSTEMU"/>
    <hyperlink ref="B204" location="'RURY PALNE'!A1" display="POWRÓT DO WYBORU SYSTEMU"/>
    <hyperlink ref="B223" location="'RURY PALNE'!A1" display="POWRÓT DO WYBORU SYSTEMU"/>
    <hyperlink ref="F17:G17" location="SYSTEMY!A1" display="MENU GŁÓWNE"/>
    <hyperlink ref="B62" location="'RURY PALNE'!A1" display="POWRÓT DO WYBORU SYSTEMU"/>
    <hyperlink ref="B9" location="'RURY PALNE'!I33" display="ALFA UNIWRAP opaski"/>
    <hyperlink ref="B9:E9" location="'RURY PALNE'!A63" display="ALFA UNIWRAP S opaski"/>
    <hyperlink ref="B11:E11" location="'RURY PALNE'!K82" display="rury PVC, PP do EI 240"/>
    <hyperlink ref="B12:E12" location="'RURY PALNE'!K105" display="rury PVC do EI 180"/>
    <hyperlink ref="B13:E13" location="'RURY PALNE'!K126" display="rury PE do EI 180"/>
    <hyperlink ref="B16:E16" location="'RURY PALNE'!J152" display="ALFA COLLAR"/>
    <hyperlink ref="B17:E17" location="'RURY PALNE'!J152" display="strop"/>
    <hyperlink ref="B18:E18" location="'RURY PALNE'!J172" display="ściana"/>
    <hyperlink ref="B14:E14" location="'RURY PALNE'!J155" display="rury niepalne + armaflex strop"/>
    <hyperlink ref="B15:E15" location="'RURY PALNE'!J175" display="rury niepalne + armaflex ścian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fitToHeight="0" orientation="portrait" cellComments="atEnd" r:id="rId1"/>
  <headerFooter>
    <oddFooter>&amp;A</oddFooter>
  </headerFooter>
  <rowBreaks count="3" manualBreakCount="3">
    <brk id="63" max="10" man="1"/>
    <brk id="136" max="10" man="1"/>
    <brk id="178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Przycisk 1">
              <controlPr defaultSize="0" print="0" autoFill="0" autoPict="0" macro="[0]!PDF_1">
                <anchor moveWithCells="1" sizeWithCells="1">
                  <from>
                    <xdr:col>9</xdr:col>
                    <xdr:colOff>285750</xdr:colOff>
                    <xdr:row>16</xdr:row>
                    <xdr:rowOff>19050</xdr:rowOff>
                  </from>
                  <to>
                    <xdr:col>10</xdr:col>
                    <xdr:colOff>352425</xdr:colOff>
                    <xdr:row>19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6">
    <tabColor theme="8" tint="0.39997558519241921"/>
  </sheetPr>
  <dimension ref="A8:P106"/>
  <sheetViews>
    <sheetView showGridLines="0" zoomScale="70" zoomScaleNormal="70" workbookViewId="0"/>
  </sheetViews>
  <sheetFormatPr defaultColWidth="0" defaultRowHeight="12.75" x14ac:dyDescent="0.2"/>
  <cols>
    <col min="1" max="1" width="9.140625" style="35" customWidth="1"/>
    <col min="2" max="2" width="12.7109375" style="35" customWidth="1"/>
    <col min="3" max="3" width="12.42578125" style="35" customWidth="1"/>
    <col min="4" max="4" width="21.7109375" style="35" bestFit="1" customWidth="1"/>
    <col min="5" max="5" width="9.85546875" style="35" customWidth="1"/>
    <col min="6" max="6" width="0" style="35" hidden="1" customWidth="1"/>
    <col min="7" max="7" width="15.28515625" style="35" customWidth="1"/>
    <col min="8" max="8" width="17.85546875" style="35" customWidth="1"/>
    <col min="9" max="9" width="11.42578125" style="35" customWidth="1"/>
    <col min="10" max="10" width="11.7109375" style="35" customWidth="1"/>
    <col min="11" max="11" width="13.28515625" style="35" customWidth="1"/>
    <col min="12" max="12" width="11.42578125" style="35" customWidth="1"/>
    <col min="13" max="13" width="15" style="35" customWidth="1"/>
    <col min="14" max="14" width="9.140625" style="35" customWidth="1"/>
    <col min="15" max="15" width="13.5703125" style="35" customWidth="1"/>
    <col min="16" max="16" width="20.5703125" style="35" customWidth="1"/>
    <col min="17" max="16384" width="9.140625" style="35" hidden="1"/>
  </cols>
  <sheetData>
    <row r="8" spans="1:16" ht="15.75" x14ac:dyDescent="0.25">
      <c r="I8" s="201" t="s">
        <v>229</v>
      </c>
      <c r="J8" s="201"/>
    </row>
    <row r="10" spans="1:16" ht="13.9" x14ac:dyDescent="0.3">
      <c r="A10" s="133"/>
      <c r="N10" s="134"/>
      <c r="O10" s="135"/>
      <c r="P10" s="133"/>
    </row>
    <row r="11" spans="1:16" ht="12.75" customHeight="1" x14ac:dyDescent="0.2">
      <c r="A11" s="136"/>
      <c r="B11" s="136"/>
      <c r="C11" s="136"/>
      <c r="D11" s="136"/>
      <c r="E11" s="207" t="s">
        <v>236</v>
      </c>
      <c r="F11" s="136"/>
      <c r="G11" s="202" t="s">
        <v>279</v>
      </c>
      <c r="H11" s="203"/>
      <c r="I11" s="212" t="s">
        <v>235</v>
      </c>
      <c r="J11" s="202" t="s">
        <v>237</v>
      </c>
      <c r="K11" s="203"/>
      <c r="L11" s="136"/>
      <c r="M11" s="134"/>
      <c r="N11" s="135"/>
      <c r="O11" s="136"/>
      <c r="P11" s="136"/>
    </row>
    <row r="12" spans="1:16" ht="38.25" x14ac:dyDescent="0.2">
      <c r="A12" s="133"/>
      <c r="B12" s="133"/>
      <c r="C12" s="133"/>
      <c r="D12" s="133"/>
      <c r="E12" s="208"/>
      <c r="F12" s="133"/>
      <c r="G12" s="137" t="s">
        <v>277</v>
      </c>
      <c r="H12" s="137" t="s">
        <v>278</v>
      </c>
      <c r="I12" s="213"/>
      <c r="J12" s="138" t="s">
        <v>238</v>
      </c>
      <c r="K12" s="138" t="s">
        <v>239</v>
      </c>
      <c r="M12" s="134"/>
      <c r="N12" s="135"/>
      <c r="O12" s="133"/>
      <c r="P12" s="133"/>
    </row>
    <row r="13" spans="1:16" s="169" customFormat="1" ht="17.25" customHeight="1" x14ac:dyDescent="0.3">
      <c r="A13" s="136"/>
      <c r="B13" s="136"/>
      <c r="C13" s="136"/>
      <c r="D13" s="136"/>
      <c r="E13" s="166">
        <f>SUM(B17:B24,B28:B31,B35:B43,B47:B106)</f>
        <v>0</v>
      </c>
      <c r="F13" s="167"/>
      <c r="G13" s="166">
        <f>(SUMPRODUCT(B17:B24,J17:J24)+SUMPRODUCT(B35:B43,J35:J43)+SUMPRODUCT(B47:B106,J47:J106))/10000</f>
        <v>0</v>
      </c>
      <c r="H13" s="166">
        <f>(SUMPRODUCT(B28:B31,J28:J31))/10000</f>
        <v>0</v>
      </c>
      <c r="I13" s="176">
        <v>0</v>
      </c>
      <c r="J13" s="168">
        <f>ROUNDUP(G13,0)*(640*(1-I13))</f>
        <v>0</v>
      </c>
      <c r="K13" s="168">
        <f>ROUNDUP(H13,0)*(750*(1-I13))</f>
        <v>0</v>
      </c>
      <c r="M13" s="134"/>
      <c r="N13" s="135" t="s">
        <v>240</v>
      </c>
      <c r="O13" s="136"/>
      <c r="P13" s="136"/>
    </row>
    <row r="14" spans="1:16" ht="13.9" x14ac:dyDescent="0.3">
      <c r="A14" s="131"/>
      <c r="B14" s="131"/>
      <c r="C14" s="131"/>
      <c r="D14" s="140"/>
      <c r="E14" s="131"/>
      <c r="F14" s="141"/>
      <c r="G14" s="131"/>
      <c r="H14" s="131"/>
      <c r="I14" s="140"/>
      <c r="J14" s="140"/>
      <c r="K14" s="142"/>
      <c r="L14" s="132"/>
      <c r="M14" s="131"/>
      <c r="N14" s="143"/>
      <c r="O14" s="132"/>
      <c r="P14" s="131"/>
    </row>
    <row r="15" spans="1:16" ht="21.75" customHeight="1" x14ac:dyDescent="0.2">
      <c r="A15" s="131"/>
      <c r="B15" s="209" t="s">
        <v>241</v>
      </c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1"/>
      <c r="P15" s="131"/>
    </row>
    <row r="16" spans="1:16" ht="38.25" x14ac:dyDescent="0.2">
      <c r="A16" s="131"/>
      <c r="B16" s="165" t="s">
        <v>233</v>
      </c>
      <c r="C16" s="165" t="s">
        <v>242</v>
      </c>
      <c r="D16" s="165" t="s">
        <v>243</v>
      </c>
      <c r="E16" s="165" t="s">
        <v>244</v>
      </c>
      <c r="F16" s="165"/>
      <c r="G16" s="165" t="s">
        <v>245</v>
      </c>
      <c r="H16" s="165" t="s">
        <v>246</v>
      </c>
      <c r="I16" s="165" t="s">
        <v>234</v>
      </c>
      <c r="J16" s="165" t="s">
        <v>247</v>
      </c>
      <c r="K16" s="165" t="s">
        <v>248</v>
      </c>
      <c r="L16" s="165" t="s">
        <v>249</v>
      </c>
      <c r="M16" s="165" t="s">
        <v>250</v>
      </c>
      <c r="N16" s="165" t="s">
        <v>235</v>
      </c>
      <c r="O16" s="165" t="s">
        <v>251</v>
      </c>
      <c r="P16" s="131"/>
    </row>
    <row r="17" spans="1:16" ht="13.9" x14ac:dyDescent="0.3">
      <c r="A17" s="136"/>
      <c r="B17" s="178"/>
      <c r="C17" s="144">
        <v>32</v>
      </c>
      <c r="D17" s="139" t="s">
        <v>252</v>
      </c>
      <c r="E17" s="144" t="s">
        <v>253</v>
      </c>
      <c r="F17" s="145"/>
      <c r="G17" s="144" t="s">
        <v>254</v>
      </c>
      <c r="H17" s="144" t="s">
        <v>254</v>
      </c>
      <c r="I17" s="146">
        <v>2</v>
      </c>
      <c r="J17" s="146">
        <v>201</v>
      </c>
      <c r="K17" s="147">
        <v>49.8</v>
      </c>
      <c r="L17" s="148">
        <v>640</v>
      </c>
      <c r="M17" s="148">
        <f>L17/K17</f>
        <v>12.85140562248996</v>
      </c>
      <c r="N17" s="177">
        <v>0</v>
      </c>
      <c r="O17" s="148">
        <f>M17*(1-N17)</f>
        <v>12.85140562248996</v>
      </c>
      <c r="P17" s="136"/>
    </row>
    <row r="18" spans="1:16" ht="13.9" x14ac:dyDescent="0.3">
      <c r="A18" s="131"/>
      <c r="B18" s="178"/>
      <c r="C18" s="144">
        <v>40</v>
      </c>
      <c r="D18" s="139" t="s">
        <v>252</v>
      </c>
      <c r="E18" s="144" t="s">
        <v>253</v>
      </c>
      <c r="F18" s="145"/>
      <c r="G18" s="144" t="s">
        <v>254</v>
      </c>
      <c r="H18" s="144" t="s">
        <v>254</v>
      </c>
      <c r="I18" s="146">
        <v>2</v>
      </c>
      <c r="J18" s="146">
        <v>251</v>
      </c>
      <c r="K18" s="149">
        <v>39.799999999999997</v>
      </c>
      <c r="L18" s="148">
        <v>640</v>
      </c>
      <c r="M18" s="148">
        <f t="shared" ref="M18:M92" si="0">L18/K18</f>
        <v>16.080402010050253</v>
      </c>
      <c r="N18" s="150">
        <f>$N$17</f>
        <v>0</v>
      </c>
      <c r="O18" s="148">
        <f t="shared" ref="O18:O24" si="1">M18*(1-N18)</f>
        <v>16.080402010050253</v>
      </c>
      <c r="P18" s="131"/>
    </row>
    <row r="19" spans="1:16" ht="13.9" x14ac:dyDescent="0.3">
      <c r="A19" s="131"/>
      <c r="B19" s="178"/>
      <c r="C19" s="144">
        <v>50</v>
      </c>
      <c r="D19" s="139" t="s">
        <v>252</v>
      </c>
      <c r="E19" s="144" t="s">
        <v>253</v>
      </c>
      <c r="F19" s="145"/>
      <c r="G19" s="144" t="s">
        <v>254</v>
      </c>
      <c r="H19" s="144" t="s">
        <v>254</v>
      </c>
      <c r="I19" s="146">
        <v>2</v>
      </c>
      <c r="J19" s="146">
        <v>314</v>
      </c>
      <c r="K19" s="147">
        <v>31.8</v>
      </c>
      <c r="L19" s="148">
        <v>640</v>
      </c>
      <c r="M19" s="148">
        <f t="shared" si="0"/>
        <v>20.125786163522012</v>
      </c>
      <c r="N19" s="150">
        <f t="shared" ref="N19:N24" si="2">$N$17</f>
        <v>0</v>
      </c>
      <c r="O19" s="148">
        <f t="shared" si="1"/>
        <v>20.125786163522012</v>
      </c>
      <c r="P19" s="131"/>
    </row>
    <row r="20" spans="1:16" ht="13.9" x14ac:dyDescent="0.3">
      <c r="A20" s="131"/>
      <c r="B20" s="178"/>
      <c r="C20" s="144">
        <v>55</v>
      </c>
      <c r="D20" s="139" t="s">
        <v>252</v>
      </c>
      <c r="E20" s="144" t="s">
        <v>253</v>
      </c>
      <c r="F20" s="145"/>
      <c r="G20" s="144" t="s">
        <v>254</v>
      </c>
      <c r="H20" s="144" t="s">
        <v>254</v>
      </c>
      <c r="I20" s="146">
        <v>2</v>
      </c>
      <c r="J20" s="146">
        <v>345</v>
      </c>
      <c r="K20" s="147">
        <v>29</v>
      </c>
      <c r="L20" s="148">
        <v>640</v>
      </c>
      <c r="M20" s="148">
        <f t="shared" si="0"/>
        <v>22.068965517241381</v>
      </c>
      <c r="N20" s="150">
        <f t="shared" si="2"/>
        <v>0</v>
      </c>
      <c r="O20" s="148">
        <f t="shared" si="1"/>
        <v>22.068965517241381</v>
      </c>
      <c r="P20" s="131"/>
    </row>
    <row r="21" spans="1:16" ht="13.9" x14ac:dyDescent="0.3">
      <c r="A21" s="131"/>
      <c r="B21" s="178"/>
      <c r="C21" s="144">
        <v>63</v>
      </c>
      <c r="D21" s="139" t="s">
        <v>252</v>
      </c>
      <c r="E21" s="144" t="s">
        <v>253</v>
      </c>
      <c r="F21" s="145"/>
      <c r="G21" s="144" t="s">
        <v>254</v>
      </c>
      <c r="H21" s="144" t="s">
        <v>254</v>
      </c>
      <c r="I21" s="146">
        <v>2</v>
      </c>
      <c r="J21" s="146">
        <v>396</v>
      </c>
      <c r="K21" s="147">
        <v>25.2</v>
      </c>
      <c r="L21" s="148">
        <v>640</v>
      </c>
      <c r="M21" s="148">
        <f t="shared" si="0"/>
        <v>25.396825396825399</v>
      </c>
      <c r="N21" s="150">
        <f t="shared" si="2"/>
        <v>0</v>
      </c>
      <c r="O21" s="148">
        <f t="shared" si="1"/>
        <v>25.396825396825399</v>
      </c>
      <c r="P21" s="131"/>
    </row>
    <row r="22" spans="1:16" ht="13.9" x14ac:dyDescent="0.3">
      <c r="A22" s="131"/>
      <c r="B22" s="178"/>
      <c r="C22" s="144">
        <v>75</v>
      </c>
      <c r="D22" s="139" t="s">
        <v>252</v>
      </c>
      <c r="E22" s="144" t="s">
        <v>253</v>
      </c>
      <c r="F22" s="145"/>
      <c r="G22" s="144" t="s">
        <v>254</v>
      </c>
      <c r="H22" s="144" t="s">
        <v>254</v>
      </c>
      <c r="I22" s="146">
        <v>2</v>
      </c>
      <c r="J22" s="146">
        <v>471</v>
      </c>
      <c r="K22" s="147">
        <v>21.2</v>
      </c>
      <c r="L22" s="148">
        <v>640</v>
      </c>
      <c r="M22" s="148">
        <f t="shared" si="0"/>
        <v>30.188679245283019</v>
      </c>
      <c r="N22" s="150">
        <f t="shared" si="2"/>
        <v>0</v>
      </c>
      <c r="O22" s="148">
        <f t="shared" si="1"/>
        <v>30.188679245283019</v>
      </c>
      <c r="P22" s="131"/>
    </row>
    <row r="23" spans="1:16" ht="13.9" x14ac:dyDescent="0.3">
      <c r="A23" s="131"/>
      <c r="B23" s="178"/>
      <c r="C23" s="144">
        <v>90</v>
      </c>
      <c r="D23" s="139" t="s">
        <v>252</v>
      </c>
      <c r="E23" s="144" t="s">
        <v>253</v>
      </c>
      <c r="F23" s="145"/>
      <c r="G23" s="144" t="s">
        <v>254</v>
      </c>
      <c r="H23" s="144" t="s">
        <v>254</v>
      </c>
      <c r="I23" s="146">
        <v>3</v>
      </c>
      <c r="J23" s="146">
        <v>848</v>
      </c>
      <c r="K23" s="147">
        <v>11.8</v>
      </c>
      <c r="L23" s="148">
        <v>640</v>
      </c>
      <c r="M23" s="148">
        <f t="shared" si="0"/>
        <v>54.237288135593218</v>
      </c>
      <c r="N23" s="150">
        <f t="shared" si="2"/>
        <v>0</v>
      </c>
      <c r="O23" s="148">
        <f t="shared" si="1"/>
        <v>54.237288135593218</v>
      </c>
      <c r="P23" s="131"/>
    </row>
    <row r="24" spans="1:16" ht="13.9" x14ac:dyDescent="0.3">
      <c r="A24" s="131"/>
      <c r="B24" s="178"/>
      <c r="C24" s="144">
        <v>110</v>
      </c>
      <c r="D24" s="139" t="s">
        <v>252</v>
      </c>
      <c r="E24" s="144" t="s">
        <v>253</v>
      </c>
      <c r="F24" s="145"/>
      <c r="G24" s="144" t="s">
        <v>254</v>
      </c>
      <c r="H24" s="144" t="s">
        <v>254</v>
      </c>
      <c r="I24" s="146">
        <v>3</v>
      </c>
      <c r="J24" s="146">
        <v>1036</v>
      </c>
      <c r="K24" s="147">
        <v>9.6999999999999993</v>
      </c>
      <c r="L24" s="148">
        <v>640</v>
      </c>
      <c r="M24" s="148">
        <f t="shared" si="0"/>
        <v>65.979381443298976</v>
      </c>
      <c r="N24" s="150">
        <f t="shared" si="2"/>
        <v>0</v>
      </c>
      <c r="O24" s="148">
        <f t="shared" si="1"/>
        <v>65.979381443298976</v>
      </c>
      <c r="P24" s="131"/>
    </row>
    <row r="25" spans="1:16" ht="13.9" x14ac:dyDescent="0.3">
      <c r="A25" s="131"/>
      <c r="B25" s="151"/>
      <c r="C25" s="151"/>
      <c r="D25" s="152"/>
      <c r="E25" s="151"/>
      <c r="F25" s="153"/>
      <c r="G25" s="151"/>
      <c r="H25" s="151"/>
      <c r="K25" s="154"/>
      <c r="L25" s="155"/>
      <c r="M25" s="155"/>
      <c r="N25" s="156"/>
      <c r="O25" s="155"/>
      <c r="P25" s="131"/>
    </row>
    <row r="26" spans="1:16" ht="23.25" customHeight="1" x14ac:dyDescent="0.2">
      <c r="A26" s="131"/>
      <c r="B26" s="209" t="s">
        <v>255</v>
      </c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1"/>
      <c r="P26" s="131"/>
    </row>
    <row r="27" spans="1:16" ht="38.25" x14ac:dyDescent="0.2">
      <c r="A27" s="131"/>
      <c r="B27" s="165" t="s">
        <v>233</v>
      </c>
      <c r="C27" s="165" t="s">
        <v>242</v>
      </c>
      <c r="D27" s="165" t="s">
        <v>243</v>
      </c>
      <c r="E27" s="165" t="s">
        <v>244</v>
      </c>
      <c r="F27" s="165"/>
      <c r="G27" s="165" t="s">
        <v>245</v>
      </c>
      <c r="H27" s="165" t="s">
        <v>246</v>
      </c>
      <c r="I27" s="165" t="s">
        <v>234</v>
      </c>
      <c r="J27" s="165" t="s">
        <v>247</v>
      </c>
      <c r="K27" s="165" t="s">
        <v>248</v>
      </c>
      <c r="L27" s="165" t="s">
        <v>249</v>
      </c>
      <c r="M27" s="165" t="s">
        <v>250</v>
      </c>
      <c r="N27" s="165" t="s">
        <v>235</v>
      </c>
      <c r="O27" s="165" t="s">
        <v>251</v>
      </c>
      <c r="P27" s="131"/>
    </row>
    <row r="28" spans="1:16" ht="13.9" x14ac:dyDescent="0.3">
      <c r="A28" s="131"/>
      <c r="B28" s="178"/>
      <c r="C28" s="144">
        <v>125</v>
      </c>
      <c r="D28" s="139" t="s">
        <v>256</v>
      </c>
      <c r="E28" s="144" t="s">
        <v>253</v>
      </c>
      <c r="F28" s="145"/>
      <c r="G28" s="144" t="s">
        <v>254</v>
      </c>
      <c r="H28" s="144" t="s">
        <v>254</v>
      </c>
      <c r="I28" s="146">
        <v>4</v>
      </c>
      <c r="J28" s="146">
        <v>1570</v>
      </c>
      <c r="K28" s="157">
        <f>10000/J28</f>
        <v>6.369426751592357</v>
      </c>
      <c r="L28" s="148">
        <v>750</v>
      </c>
      <c r="M28" s="148">
        <f>L28/K28</f>
        <v>117.75</v>
      </c>
      <c r="N28" s="177">
        <v>0</v>
      </c>
      <c r="O28" s="148">
        <f>M28*(1-N28)</f>
        <v>117.75</v>
      </c>
      <c r="P28" s="131"/>
    </row>
    <row r="29" spans="1:16" ht="13.9" x14ac:dyDescent="0.3">
      <c r="A29" s="131"/>
      <c r="B29" s="178"/>
      <c r="C29" s="144">
        <v>160</v>
      </c>
      <c r="D29" s="139" t="s">
        <v>256</v>
      </c>
      <c r="E29" s="144" t="s">
        <v>253</v>
      </c>
      <c r="F29" s="145"/>
      <c r="G29" s="144" t="s">
        <v>254</v>
      </c>
      <c r="H29" s="144" t="s">
        <v>254</v>
      </c>
      <c r="I29" s="146">
        <v>5</v>
      </c>
      <c r="J29" s="146">
        <v>2512</v>
      </c>
      <c r="K29" s="157">
        <f t="shared" ref="K29:K31" si="3">10000/J29</f>
        <v>3.9808917197452227</v>
      </c>
      <c r="L29" s="148">
        <v>750</v>
      </c>
      <c r="M29" s="148">
        <f>L29/K29</f>
        <v>188.4</v>
      </c>
      <c r="N29" s="150">
        <f>$N$28</f>
        <v>0</v>
      </c>
      <c r="O29" s="148">
        <f>M29*(1-N29)</f>
        <v>188.4</v>
      </c>
      <c r="P29" s="131"/>
    </row>
    <row r="30" spans="1:16" x14ac:dyDescent="0.2">
      <c r="A30" s="131"/>
      <c r="B30" s="178"/>
      <c r="C30" s="144">
        <v>200</v>
      </c>
      <c r="D30" s="139" t="s">
        <v>209</v>
      </c>
      <c r="E30" s="144" t="s">
        <v>253</v>
      </c>
      <c r="F30" s="145"/>
      <c r="G30" s="144" t="s">
        <v>254</v>
      </c>
      <c r="H30" s="144" t="s">
        <v>257</v>
      </c>
      <c r="I30" s="146">
        <v>8</v>
      </c>
      <c r="J30" s="146">
        <v>5024</v>
      </c>
      <c r="K30" s="157">
        <f t="shared" si="3"/>
        <v>1.9904458598726114</v>
      </c>
      <c r="L30" s="148">
        <v>750</v>
      </c>
      <c r="M30" s="148">
        <f>L30/K30</f>
        <v>376.8</v>
      </c>
      <c r="N30" s="150">
        <f t="shared" ref="N30:N31" si="4">$N$28</f>
        <v>0</v>
      </c>
      <c r="O30" s="148">
        <f>M30*(1-N30)</f>
        <v>376.8</v>
      </c>
      <c r="P30" s="131" t="s">
        <v>258</v>
      </c>
    </row>
    <row r="31" spans="1:16" x14ac:dyDescent="0.2">
      <c r="A31" s="131"/>
      <c r="B31" s="178"/>
      <c r="C31" s="144">
        <v>200</v>
      </c>
      <c r="D31" s="139" t="s">
        <v>259</v>
      </c>
      <c r="E31" s="144" t="s">
        <v>253</v>
      </c>
      <c r="F31" s="145"/>
      <c r="G31" s="144" t="s">
        <v>254</v>
      </c>
      <c r="H31" s="144" t="s">
        <v>260</v>
      </c>
      <c r="I31" s="146">
        <v>8</v>
      </c>
      <c r="J31" s="146">
        <v>5024</v>
      </c>
      <c r="K31" s="157">
        <f t="shared" si="3"/>
        <v>1.9904458598726114</v>
      </c>
      <c r="L31" s="148">
        <v>750</v>
      </c>
      <c r="M31" s="148">
        <f>L31/K31</f>
        <v>376.8</v>
      </c>
      <c r="N31" s="150">
        <f t="shared" si="4"/>
        <v>0</v>
      </c>
      <c r="O31" s="148">
        <f>M31*(1-N31)</f>
        <v>376.8</v>
      </c>
      <c r="P31" s="131" t="s">
        <v>258</v>
      </c>
    </row>
    <row r="32" spans="1:16" ht="13.9" x14ac:dyDescent="0.3">
      <c r="A32" s="131"/>
      <c r="B32" s="158"/>
      <c r="C32" s="158"/>
      <c r="D32" s="159"/>
      <c r="E32" s="158"/>
      <c r="F32" s="160"/>
      <c r="G32" s="158"/>
      <c r="H32" s="158"/>
      <c r="K32" s="161"/>
      <c r="L32" s="162"/>
      <c r="M32" s="162"/>
      <c r="N32" s="163"/>
      <c r="O32" s="162"/>
      <c r="P32" s="131"/>
    </row>
    <row r="33" spans="1:16" ht="24" customHeight="1" x14ac:dyDescent="0.2">
      <c r="A33" s="131"/>
      <c r="B33" s="209" t="s">
        <v>261</v>
      </c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1"/>
      <c r="P33" s="131"/>
    </row>
    <row r="34" spans="1:16" ht="38.25" x14ac:dyDescent="0.2">
      <c r="A34" s="131"/>
      <c r="B34" s="165" t="s">
        <v>233</v>
      </c>
      <c r="C34" s="165" t="s">
        <v>242</v>
      </c>
      <c r="D34" s="165" t="s">
        <v>243</v>
      </c>
      <c r="E34" s="165" t="s">
        <v>244</v>
      </c>
      <c r="F34" s="165"/>
      <c r="G34" s="165" t="s">
        <v>245</v>
      </c>
      <c r="H34" s="165" t="s">
        <v>246</v>
      </c>
      <c r="I34" s="165" t="s">
        <v>234</v>
      </c>
      <c r="J34" s="165" t="s">
        <v>247</v>
      </c>
      <c r="K34" s="165" t="s">
        <v>248</v>
      </c>
      <c r="L34" s="165" t="s">
        <v>249</v>
      </c>
      <c r="M34" s="165" t="s">
        <v>250</v>
      </c>
      <c r="N34" s="165" t="s">
        <v>235</v>
      </c>
      <c r="O34" s="165" t="s">
        <v>251</v>
      </c>
      <c r="P34" s="131"/>
    </row>
    <row r="35" spans="1:16" x14ac:dyDescent="0.2">
      <c r="A35" s="131"/>
      <c r="B35" s="178"/>
      <c r="C35" s="144">
        <v>20</v>
      </c>
      <c r="D35" s="139" t="s">
        <v>262</v>
      </c>
      <c r="E35" s="144" t="s">
        <v>253</v>
      </c>
      <c r="F35" s="145"/>
      <c r="G35" s="144" t="s">
        <v>276</v>
      </c>
      <c r="H35" s="144" t="s">
        <v>254</v>
      </c>
      <c r="I35" s="146">
        <v>2</v>
      </c>
      <c r="J35" s="146">
        <v>126</v>
      </c>
      <c r="K35" s="157">
        <f>10000/J35</f>
        <v>79.365079365079367</v>
      </c>
      <c r="L35" s="148">
        <v>640</v>
      </c>
      <c r="M35" s="148">
        <f t="shared" si="0"/>
        <v>8.0640000000000001</v>
      </c>
      <c r="N35" s="177">
        <v>0</v>
      </c>
      <c r="O35" s="148">
        <f t="shared" ref="O35:O99" si="5">M35*(1-N35)</f>
        <v>8.0640000000000001</v>
      </c>
      <c r="P35" s="131"/>
    </row>
    <row r="36" spans="1:16" x14ac:dyDescent="0.2">
      <c r="A36" s="131"/>
      <c r="B36" s="178"/>
      <c r="C36" s="144">
        <v>25</v>
      </c>
      <c r="D36" s="139" t="s">
        <v>262</v>
      </c>
      <c r="E36" s="144" t="s">
        <v>253</v>
      </c>
      <c r="F36" s="145"/>
      <c r="G36" s="144" t="s">
        <v>276</v>
      </c>
      <c r="H36" s="144" t="s">
        <v>254</v>
      </c>
      <c r="I36" s="146">
        <v>3</v>
      </c>
      <c r="J36" s="146">
        <v>236</v>
      </c>
      <c r="K36" s="157">
        <f t="shared" ref="K36:K43" si="6">10000/J36</f>
        <v>42.372881355932201</v>
      </c>
      <c r="L36" s="148">
        <v>640</v>
      </c>
      <c r="M36" s="148">
        <f t="shared" si="0"/>
        <v>15.104000000000001</v>
      </c>
      <c r="N36" s="150">
        <f>$N$35</f>
        <v>0</v>
      </c>
      <c r="O36" s="148">
        <f t="shared" si="5"/>
        <v>15.104000000000001</v>
      </c>
      <c r="P36" s="131"/>
    </row>
    <row r="37" spans="1:16" x14ac:dyDescent="0.2">
      <c r="A37" s="131"/>
      <c r="B37" s="178"/>
      <c r="C37" s="144">
        <v>32</v>
      </c>
      <c r="D37" s="139" t="s">
        <v>262</v>
      </c>
      <c r="E37" s="144" t="s">
        <v>253</v>
      </c>
      <c r="F37" s="145"/>
      <c r="G37" s="144" t="s">
        <v>276</v>
      </c>
      <c r="H37" s="144" t="s">
        <v>254</v>
      </c>
      <c r="I37" s="146">
        <v>3</v>
      </c>
      <c r="J37" s="146">
        <v>301</v>
      </c>
      <c r="K37" s="157">
        <f t="shared" si="6"/>
        <v>33.222591362126245</v>
      </c>
      <c r="L37" s="148">
        <v>640</v>
      </c>
      <c r="M37" s="148">
        <f t="shared" si="0"/>
        <v>19.263999999999999</v>
      </c>
      <c r="N37" s="150">
        <f t="shared" ref="N37:N43" si="7">$N$35</f>
        <v>0</v>
      </c>
      <c r="O37" s="148">
        <f t="shared" si="5"/>
        <v>19.263999999999999</v>
      </c>
      <c r="P37" s="131"/>
    </row>
    <row r="38" spans="1:16" x14ac:dyDescent="0.2">
      <c r="A38" s="131"/>
      <c r="B38" s="178"/>
      <c r="C38" s="144">
        <v>40</v>
      </c>
      <c r="D38" s="139" t="s">
        <v>262</v>
      </c>
      <c r="E38" s="144" t="s">
        <v>253</v>
      </c>
      <c r="F38" s="145"/>
      <c r="G38" s="144" t="s">
        <v>276</v>
      </c>
      <c r="H38" s="144" t="s">
        <v>254</v>
      </c>
      <c r="I38" s="146">
        <v>3</v>
      </c>
      <c r="J38" s="146">
        <v>377</v>
      </c>
      <c r="K38" s="157">
        <f t="shared" si="6"/>
        <v>26.525198938992041</v>
      </c>
      <c r="L38" s="148">
        <v>640</v>
      </c>
      <c r="M38" s="148">
        <f t="shared" si="0"/>
        <v>24.128</v>
      </c>
      <c r="N38" s="150">
        <f t="shared" si="7"/>
        <v>0</v>
      </c>
      <c r="O38" s="148">
        <f t="shared" si="5"/>
        <v>24.128</v>
      </c>
      <c r="P38" s="131"/>
    </row>
    <row r="39" spans="1:16" x14ac:dyDescent="0.2">
      <c r="A39" s="131"/>
      <c r="B39" s="178"/>
      <c r="C39" s="144">
        <v>50</v>
      </c>
      <c r="D39" s="139" t="s">
        <v>262</v>
      </c>
      <c r="E39" s="144" t="s">
        <v>253</v>
      </c>
      <c r="F39" s="145"/>
      <c r="G39" s="144" t="s">
        <v>276</v>
      </c>
      <c r="H39" s="144" t="s">
        <v>254</v>
      </c>
      <c r="I39" s="146">
        <v>3</v>
      </c>
      <c r="J39" s="146">
        <v>471</v>
      </c>
      <c r="K39" s="157">
        <f t="shared" si="6"/>
        <v>21.231422505307854</v>
      </c>
      <c r="L39" s="148">
        <v>640</v>
      </c>
      <c r="M39" s="148">
        <f t="shared" si="0"/>
        <v>30.144000000000002</v>
      </c>
      <c r="N39" s="150">
        <f t="shared" si="7"/>
        <v>0</v>
      </c>
      <c r="O39" s="148">
        <f t="shared" si="5"/>
        <v>30.144000000000002</v>
      </c>
      <c r="P39" s="131"/>
    </row>
    <row r="40" spans="1:16" x14ac:dyDescent="0.2">
      <c r="A40" s="131"/>
      <c r="B40" s="178"/>
      <c r="C40" s="144">
        <v>63</v>
      </c>
      <c r="D40" s="139" t="s">
        <v>262</v>
      </c>
      <c r="E40" s="144" t="s">
        <v>253</v>
      </c>
      <c r="F40" s="145"/>
      <c r="G40" s="144" t="s">
        <v>276</v>
      </c>
      <c r="H40" s="144" t="s">
        <v>254</v>
      </c>
      <c r="I40" s="146">
        <v>3</v>
      </c>
      <c r="J40" s="146">
        <v>593</v>
      </c>
      <c r="K40" s="157">
        <f t="shared" si="6"/>
        <v>16.863406408094434</v>
      </c>
      <c r="L40" s="148">
        <v>640</v>
      </c>
      <c r="M40" s="148">
        <f t="shared" si="0"/>
        <v>37.952000000000005</v>
      </c>
      <c r="N40" s="150">
        <f t="shared" si="7"/>
        <v>0</v>
      </c>
      <c r="O40" s="148">
        <f t="shared" si="5"/>
        <v>37.952000000000005</v>
      </c>
      <c r="P40" s="131"/>
    </row>
    <row r="41" spans="1:16" x14ac:dyDescent="0.2">
      <c r="A41" s="131"/>
      <c r="B41" s="178"/>
      <c r="C41" s="144">
        <v>75</v>
      </c>
      <c r="D41" s="139" t="s">
        <v>262</v>
      </c>
      <c r="E41" s="144" t="s">
        <v>253</v>
      </c>
      <c r="F41" s="145"/>
      <c r="G41" s="144" t="s">
        <v>276</v>
      </c>
      <c r="H41" s="144" t="s">
        <v>254</v>
      </c>
      <c r="I41" s="146">
        <v>3</v>
      </c>
      <c r="J41" s="146">
        <v>765</v>
      </c>
      <c r="K41" s="157">
        <f t="shared" si="6"/>
        <v>13.071895424836601</v>
      </c>
      <c r="L41" s="148">
        <v>640</v>
      </c>
      <c r="M41" s="148">
        <f t="shared" si="0"/>
        <v>48.96</v>
      </c>
      <c r="N41" s="150">
        <f t="shared" si="7"/>
        <v>0</v>
      </c>
      <c r="O41" s="148">
        <f t="shared" si="5"/>
        <v>48.96</v>
      </c>
      <c r="P41" s="131"/>
    </row>
    <row r="42" spans="1:16" x14ac:dyDescent="0.2">
      <c r="A42" s="131"/>
      <c r="B42" s="178"/>
      <c r="C42" s="144">
        <v>90</v>
      </c>
      <c r="D42" s="139" t="s">
        <v>262</v>
      </c>
      <c r="E42" s="144" t="s">
        <v>253</v>
      </c>
      <c r="F42" s="145"/>
      <c r="G42" s="144" t="s">
        <v>276</v>
      </c>
      <c r="H42" s="144" t="s">
        <v>254</v>
      </c>
      <c r="I42" s="146">
        <v>3</v>
      </c>
      <c r="J42" s="146">
        <v>848</v>
      </c>
      <c r="K42" s="157">
        <f t="shared" si="6"/>
        <v>11.79245283018868</v>
      </c>
      <c r="L42" s="148">
        <v>640</v>
      </c>
      <c r="M42" s="148">
        <f t="shared" si="0"/>
        <v>54.271999999999998</v>
      </c>
      <c r="N42" s="150">
        <f t="shared" si="7"/>
        <v>0</v>
      </c>
      <c r="O42" s="148">
        <f t="shared" si="5"/>
        <v>54.271999999999998</v>
      </c>
      <c r="P42" s="131"/>
    </row>
    <row r="43" spans="1:16" x14ac:dyDescent="0.2">
      <c r="A43" s="131"/>
      <c r="B43" s="178"/>
      <c r="C43" s="144">
        <v>110</v>
      </c>
      <c r="D43" s="139" t="s">
        <v>262</v>
      </c>
      <c r="E43" s="144" t="s">
        <v>253</v>
      </c>
      <c r="F43" s="145"/>
      <c r="G43" s="144" t="s">
        <v>276</v>
      </c>
      <c r="H43" s="144" t="s">
        <v>254</v>
      </c>
      <c r="I43" s="146">
        <v>3</v>
      </c>
      <c r="J43" s="146">
        <v>1036</v>
      </c>
      <c r="K43" s="157">
        <f t="shared" si="6"/>
        <v>9.6525096525096519</v>
      </c>
      <c r="L43" s="148">
        <v>640</v>
      </c>
      <c r="M43" s="148">
        <f t="shared" si="0"/>
        <v>66.304000000000002</v>
      </c>
      <c r="N43" s="150">
        <f t="shared" si="7"/>
        <v>0</v>
      </c>
      <c r="O43" s="148">
        <f t="shared" si="5"/>
        <v>66.304000000000002</v>
      </c>
      <c r="P43" s="131"/>
    </row>
    <row r="44" spans="1:16" x14ac:dyDescent="0.2">
      <c r="A44" s="131"/>
      <c r="B44" s="131"/>
      <c r="C44" s="131"/>
      <c r="D44" s="140"/>
      <c r="E44" s="131"/>
      <c r="F44" s="141"/>
      <c r="G44" s="131"/>
      <c r="H44" s="131"/>
      <c r="I44" s="140"/>
      <c r="J44" s="140"/>
      <c r="K44" s="142"/>
      <c r="L44" s="132"/>
      <c r="M44" s="132"/>
      <c r="N44" s="143"/>
      <c r="O44" s="132"/>
      <c r="P44" s="131"/>
    </row>
    <row r="45" spans="1:16" ht="26.25" customHeight="1" x14ac:dyDescent="0.2">
      <c r="A45" s="131"/>
      <c r="B45" s="209" t="s">
        <v>263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1"/>
      <c r="P45" s="131"/>
    </row>
    <row r="46" spans="1:16" ht="38.25" x14ac:dyDescent="0.2">
      <c r="A46" s="131"/>
      <c r="B46" s="165" t="s">
        <v>233</v>
      </c>
      <c r="C46" s="165" t="s">
        <v>242</v>
      </c>
      <c r="D46" s="165" t="s">
        <v>243</v>
      </c>
      <c r="E46" s="165" t="s">
        <v>244</v>
      </c>
      <c r="F46" s="165"/>
      <c r="G46" s="165" t="s">
        <v>245</v>
      </c>
      <c r="H46" s="165" t="s">
        <v>246</v>
      </c>
      <c r="I46" s="165" t="s">
        <v>234</v>
      </c>
      <c r="J46" s="165" t="s">
        <v>247</v>
      </c>
      <c r="K46" s="165" t="s">
        <v>248</v>
      </c>
      <c r="L46" s="165" t="s">
        <v>249</v>
      </c>
      <c r="M46" s="165" t="s">
        <v>250</v>
      </c>
      <c r="N46" s="165" t="s">
        <v>235</v>
      </c>
      <c r="O46" s="165" t="s">
        <v>251</v>
      </c>
      <c r="P46" s="131"/>
    </row>
    <row r="47" spans="1:16" x14ac:dyDescent="0.2">
      <c r="A47" s="131"/>
      <c r="B47" s="178"/>
      <c r="C47" s="204">
        <v>42.4</v>
      </c>
      <c r="D47" s="139" t="s">
        <v>264</v>
      </c>
      <c r="E47" s="144">
        <v>9</v>
      </c>
      <c r="F47" s="145" t="str">
        <f>$C$41&amp;" + "&amp;E47</f>
        <v>75 + 9</v>
      </c>
      <c r="G47" s="144" t="s">
        <v>254</v>
      </c>
      <c r="H47" s="144" t="s">
        <v>254</v>
      </c>
      <c r="I47" s="146">
        <v>1</v>
      </c>
      <c r="J47" s="164">
        <v>190</v>
      </c>
      <c r="K47" s="157">
        <v>52.7</v>
      </c>
      <c r="L47" s="148">
        <v>640</v>
      </c>
      <c r="M47" s="148">
        <f t="shared" si="0"/>
        <v>12.144212523719164</v>
      </c>
      <c r="N47" s="177">
        <v>0</v>
      </c>
      <c r="O47" s="148">
        <f t="shared" si="5"/>
        <v>12.144212523719164</v>
      </c>
      <c r="P47" s="131"/>
    </row>
    <row r="48" spans="1:16" x14ac:dyDescent="0.2">
      <c r="A48" s="131"/>
      <c r="B48" s="178"/>
      <c r="C48" s="206"/>
      <c r="D48" s="139" t="s">
        <v>264</v>
      </c>
      <c r="E48" s="144">
        <v>10</v>
      </c>
      <c r="F48" s="145" t="str">
        <f t="shared" ref="F48:F52" si="8">$C$41&amp;" + "&amp;E48</f>
        <v>75 + 10</v>
      </c>
      <c r="G48" s="144" t="s">
        <v>254</v>
      </c>
      <c r="H48" s="144" t="s">
        <v>254</v>
      </c>
      <c r="I48" s="146">
        <v>2</v>
      </c>
      <c r="J48" s="164">
        <v>391.9</v>
      </c>
      <c r="K48" s="157">
        <v>25.5</v>
      </c>
      <c r="L48" s="148">
        <v>640</v>
      </c>
      <c r="M48" s="148">
        <f t="shared" si="0"/>
        <v>25.098039215686274</v>
      </c>
      <c r="N48" s="150">
        <f>$N$47</f>
        <v>0</v>
      </c>
      <c r="O48" s="148">
        <f t="shared" si="5"/>
        <v>25.098039215686274</v>
      </c>
      <c r="P48" s="131"/>
    </row>
    <row r="49" spans="1:16" x14ac:dyDescent="0.2">
      <c r="A49" s="131"/>
      <c r="B49" s="178"/>
      <c r="C49" s="206"/>
      <c r="D49" s="139" t="s">
        <v>264</v>
      </c>
      <c r="E49" s="144">
        <v>13</v>
      </c>
      <c r="F49" s="145" t="str">
        <f t="shared" si="8"/>
        <v>75 + 13</v>
      </c>
      <c r="G49" s="144" t="s">
        <v>254</v>
      </c>
      <c r="H49" s="144" t="s">
        <v>254</v>
      </c>
      <c r="I49" s="146">
        <v>2</v>
      </c>
      <c r="J49" s="164">
        <v>429.6</v>
      </c>
      <c r="K49" s="157">
        <v>23.3</v>
      </c>
      <c r="L49" s="148">
        <v>640</v>
      </c>
      <c r="M49" s="148">
        <f t="shared" si="0"/>
        <v>27.467811158798284</v>
      </c>
      <c r="N49" s="150">
        <f t="shared" ref="N49:N106" si="9">$N$47</f>
        <v>0</v>
      </c>
      <c r="O49" s="148">
        <f t="shared" si="5"/>
        <v>27.467811158798284</v>
      </c>
      <c r="P49" s="131"/>
    </row>
    <row r="50" spans="1:16" x14ac:dyDescent="0.2">
      <c r="A50" s="131"/>
      <c r="B50" s="178"/>
      <c r="C50" s="206"/>
      <c r="D50" s="139" t="s">
        <v>264</v>
      </c>
      <c r="E50" s="144">
        <v>16</v>
      </c>
      <c r="F50" s="145" t="str">
        <f t="shared" si="8"/>
        <v>75 + 16</v>
      </c>
      <c r="G50" s="144" t="s">
        <v>254</v>
      </c>
      <c r="H50" s="144" t="s">
        <v>254</v>
      </c>
      <c r="I50" s="146">
        <v>2</v>
      </c>
      <c r="J50" s="164">
        <v>467.2</v>
      </c>
      <c r="K50" s="157">
        <v>21.4</v>
      </c>
      <c r="L50" s="148">
        <v>640</v>
      </c>
      <c r="M50" s="148">
        <f t="shared" si="0"/>
        <v>29.90654205607477</v>
      </c>
      <c r="N50" s="150">
        <f t="shared" si="9"/>
        <v>0</v>
      </c>
      <c r="O50" s="148">
        <f t="shared" si="5"/>
        <v>29.90654205607477</v>
      </c>
      <c r="P50" s="131"/>
    </row>
    <row r="51" spans="1:16" x14ac:dyDescent="0.2">
      <c r="A51" s="131"/>
      <c r="B51" s="178"/>
      <c r="C51" s="206"/>
      <c r="D51" s="139" t="s">
        <v>264</v>
      </c>
      <c r="E51" s="144">
        <v>19</v>
      </c>
      <c r="F51" s="145" t="str">
        <f t="shared" si="8"/>
        <v>75 + 19</v>
      </c>
      <c r="G51" s="144" t="s">
        <v>254</v>
      </c>
      <c r="H51" s="144" t="s">
        <v>254</v>
      </c>
      <c r="I51" s="146">
        <v>2</v>
      </c>
      <c r="J51" s="164">
        <v>504.9</v>
      </c>
      <c r="K51" s="157">
        <v>19.8</v>
      </c>
      <c r="L51" s="148">
        <v>640</v>
      </c>
      <c r="M51" s="148">
        <f t="shared" si="0"/>
        <v>32.323232323232325</v>
      </c>
      <c r="N51" s="150">
        <f t="shared" si="9"/>
        <v>0</v>
      </c>
      <c r="O51" s="148">
        <f t="shared" si="5"/>
        <v>32.323232323232325</v>
      </c>
      <c r="P51" s="131"/>
    </row>
    <row r="52" spans="1:16" x14ac:dyDescent="0.2">
      <c r="A52" s="131"/>
      <c r="B52" s="178"/>
      <c r="C52" s="205"/>
      <c r="D52" s="139" t="s">
        <v>264</v>
      </c>
      <c r="E52" s="144">
        <v>25</v>
      </c>
      <c r="F52" s="145" t="str">
        <f t="shared" si="8"/>
        <v>75 + 25</v>
      </c>
      <c r="G52" s="144" t="s">
        <v>254</v>
      </c>
      <c r="H52" s="144" t="s">
        <v>254</v>
      </c>
      <c r="I52" s="146">
        <v>3</v>
      </c>
      <c r="J52" s="164">
        <v>870.4</v>
      </c>
      <c r="K52" s="157">
        <v>11.5</v>
      </c>
      <c r="L52" s="148">
        <v>640</v>
      </c>
      <c r="M52" s="148">
        <f t="shared" si="0"/>
        <v>55.652173913043477</v>
      </c>
      <c r="N52" s="150">
        <f t="shared" si="9"/>
        <v>0</v>
      </c>
      <c r="O52" s="148">
        <f t="shared" si="5"/>
        <v>55.652173913043477</v>
      </c>
      <c r="P52" s="131"/>
    </row>
    <row r="53" spans="1:16" x14ac:dyDescent="0.2">
      <c r="A53" s="131"/>
      <c r="B53" s="178"/>
      <c r="C53" s="204">
        <v>44.5</v>
      </c>
      <c r="D53" s="139" t="s">
        <v>264</v>
      </c>
      <c r="E53" s="144">
        <v>9</v>
      </c>
      <c r="F53" s="145" t="str">
        <f>$C$47&amp;" + "&amp;E53</f>
        <v>42,4 + 9</v>
      </c>
      <c r="G53" s="144" t="s">
        <v>265</v>
      </c>
      <c r="H53" s="144" t="s">
        <v>266</v>
      </c>
      <c r="I53" s="146">
        <v>1</v>
      </c>
      <c r="J53" s="164">
        <v>196.3</v>
      </c>
      <c r="K53" s="157">
        <v>50.9</v>
      </c>
      <c r="L53" s="148">
        <v>640</v>
      </c>
      <c r="M53" s="148">
        <f t="shared" si="0"/>
        <v>12.573673870333989</v>
      </c>
      <c r="N53" s="150">
        <f t="shared" si="9"/>
        <v>0</v>
      </c>
      <c r="O53" s="148">
        <f t="shared" si="5"/>
        <v>12.573673870333989</v>
      </c>
      <c r="P53" s="131"/>
    </row>
    <row r="54" spans="1:16" x14ac:dyDescent="0.2">
      <c r="A54" s="131"/>
      <c r="B54" s="178"/>
      <c r="C54" s="206"/>
      <c r="D54" s="139" t="s">
        <v>264</v>
      </c>
      <c r="E54" s="144">
        <v>10</v>
      </c>
      <c r="F54" s="145" t="str">
        <f t="shared" ref="F54:F58" si="10">$C$47&amp;" + "&amp;E54</f>
        <v>42,4 + 10</v>
      </c>
      <c r="G54" s="144" t="s">
        <v>254</v>
      </c>
      <c r="H54" s="144" t="s">
        <v>265</v>
      </c>
      <c r="I54" s="146">
        <v>2</v>
      </c>
      <c r="J54" s="164">
        <v>405.1</v>
      </c>
      <c r="K54" s="157">
        <v>24.7</v>
      </c>
      <c r="L54" s="148">
        <v>640</v>
      </c>
      <c r="M54" s="148">
        <f t="shared" si="0"/>
        <v>25.910931174089068</v>
      </c>
      <c r="N54" s="150">
        <f t="shared" si="9"/>
        <v>0</v>
      </c>
      <c r="O54" s="148">
        <f t="shared" si="5"/>
        <v>25.910931174089068</v>
      </c>
      <c r="P54" s="131"/>
    </row>
    <row r="55" spans="1:16" x14ac:dyDescent="0.2">
      <c r="A55" s="131"/>
      <c r="B55" s="178"/>
      <c r="C55" s="206"/>
      <c r="D55" s="139" t="s">
        <v>264</v>
      </c>
      <c r="E55" s="144">
        <v>13</v>
      </c>
      <c r="F55" s="145" t="str">
        <f t="shared" si="10"/>
        <v>42,4 + 13</v>
      </c>
      <c r="G55" s="144" t="s">
        <v>254</v>
      </c>
      <c r="H55" s="144" t="s">
        <v>265</v>
      </c>
      <c r="I55" s="146">
        <v>2</v>
      </c>
      <c r="J55" s="164">
        <v>442.7</v>
      </c>
      <c r="K55" s="157">
        <v>22.6</v>
      </c>
      <c r="L55" s="148">
        <v>640</v>
      </c>
      <c r="M55" s="148">
        <f t="shared" si="0"/>
        <v>28.318584070796458</v>
      </c>
      <c r="N55" s="150">
        <f t="shared" si="9"/>
        <v>0</v>
      </c>
      <c r="O55" s="148">
        <f t="shared" si="5"/>
        <v>28.318584070796458</v>
      </c>
      <c r="P55" s="131"/>
    </row>
    <row r="56" spans="1:16" x14ac:dyDescent="0.2">
      <c r="A56" s="131"/>
      <c r="B56" s="178"/>
      <c r="C56" s="206"/>
      <c r="D56" s="139" t="s">
        <v>264</v>
      </c>
      <c r="E56" s="144">
        <v>16</v>
      </c>
      <c r="F56" s="145" t="str">
        <f t="shared" si="10"/>
        <v>42,4 + 16</v>
      </c>
      <c r="G56" s="144" t="s">
        <v>254</v>
      </c>
      <c r="H56" s="144" t="s">
        <v>265</v>
      </c>
      <c r="I56" s="146">
        <v>2</v>
      </c>
      <c r="J56" s="164">
        <v>480.4</v>
      </c>
      <c r="K56" s="157">
        <v>20.8</v>
      </c>
      <c r="L56" s="148">
        <v>640</v>
      </c>
      <c r="M56" s="148">
        <f t="shared" si="0"/>
        <v>30.769230769230766</v>
      </c>
      <c r="N56" s="150">
        <f t="shared" si="9"/>
        <v>0</v>
      </c>
      <c r="O56" s="148">
        <f t="shared" si="5"/>
        <v>30.769230769230766</v>
      </c>
      <c r="P56" s="131"/>
    </row>
    <row r="57" spans="1:16" x14ac:dyDescent="0.2">
      <c r="A57" s="131"/>
      <c r="B57" s="178"/>
      <c r="C57" s="206"/>
      <c r="D57" s="139" t="s">
        <v>264</v>
      </c>
      <c r="E57" s="144">
        <v>19</v>
      </c>
      <c r="F57" s="145" t="str">
        <f t="shared" si="10"/>
        <v>42,4 + 19</v>
      </c>
      <c r="G57" s="144" t="s">
        <v>254</v>
      </c>
      <c r="H57" s="144" t="s">
        <v>265</v>
      </c>
      <c r="I57" s="146">
        <v>2</v>
      </c>
      <c r="J57" s="164">
        <v>518.1</v>
      </c>
      <c r="K57" s="157">
        <v>19.3</v>
      </c>
      <c r="L57" s="148">
        <v>640</v>
      </c>
      <c r="M57" s="148">
        <f t="shared" si="0"/>
        <v>33.160621761658028</v>
      </c>
      <c r="N57" s="150">
        <f t="shared" si="9"/>
        <v>0</v>
      </c>
      <c r="O57" s="148">
        <f t="shared" si="5"/>
        <v>33.160621761658028</v>
      </c>
      <c r="P57" s="131"/>
    </row>
    <row r="58" spans="1:16" x14ac:dyDescent="0.2">
      <c r="A58" s="131"/>
      <c r="B58" s="178"/>
      <c r="C58" s="205"/>
      <c r="D58" s="139" t="s">
        <v>264</v>
      </c>
      <c r="E58" s="144">
        <v>25</v>
      </c>
      <c r="F58" s="145" t="str">
        <f t="shared" si="10"/>
        <v>42,4 + 25</v>
      </c>
      <c r="G58" s="144" t="s">
        <v>254</v>
      </c>
      <c r="H58" s="144" t="s">
        <v>265</v>
      </c>
      <c r="I58" s="146">
        <v>3</v>
      </c>
      <c r="J58" s="164">
        <v>890.2</v>
      </c>
      <c r="K58" s="157">
        <v>11.2</v>
      </c>
      <c r="L58" s="148">
        <v>640</v>
      </c>
      <c r="M58" s="148">
        <f t="shared" si="0"/>
        <v>57.142857142857146</v>
      </c>
      <c r="N58" s="150">
        <f t="shared" si="9"/>
        <v>0</v>
      </c>
      <c r="O58" s="148">
        <f t="shared" si="5"/>
        <v>57.142857142857146</v>
      </c>
      <c r="P58" s="131"/>
    </row>
    <row r="59" spans="1:16" x14ac:dyDescent="0.2">
      <c r="A59" s="131"/>
      <c r="B59" s="178"/>
      <c r="C59" s="204">
        <v>48.3</v>
      </c>
      <c r="D59" s="139" t="s">
        <v>264</v>
      </c>
      <c r="E59" s="144">
        <v>10</v>
      </c>
      <c r="F59" s="145" t="str">
        <f>$C$53&amp;" + "&amp;E59</f>
        <v>44,5 + 10</v>
      </c>
      <c r="G59" s="144" t="s">
        <v>265</v>
      </c>
      <c r="H59" s="144" t="s">
        <v>266</v>
      </c>
      <c r="I59" s="146">
        <v>2</v>
      </c>
      <c r="J59" s="164">
        <v>428.9</v>
      </c>
      <c r="K59" s="157">
        <v>23.3</v>
      </c>
      <c r="L59" s="148">
        <v>640</v>
      </c>
      <c r="M59" s="148">
        <f t="shared" si="0"/>
        <v>27.467811158798284</v>
      </c>
      <c r="N59" s="150">
        <f t="shared" si="9"/>
        <v>0</v>
      </c>
      <c r="O59" s="148">
        <f t="shared" si="5"/>
        <v>27.467811158798284</v>
      </c>
      <c r="P59" s="131"/>
    </row>
    <row r="60" spans="1:16" x14ac:dyDescent="0.2">
      <c r="A60" s="131"/>
      <c r="B60" s="178"/>
      <c r="C60" s="206"/>
      <c r="D60" s="139" t="s">
        <v>264</v>
      </c>
      <c r="E60" s="144">
        <v>13</v>
      </c>
      <c r="F60" s="145" t="str">
        <f t="shared" ref="F60:F63" si="11">$C$53&amp;" + "&amp;E60</f>
        <v>44,5 + 13</v>
      </c>
      <c r="G60" s="144" t="s">
        <v>254</v>
      </c>
      <c r="H60" s="144" t="s">
        <v>265</v>
      </c>
      <c r="I60" s="146">
        <v>2</v>
      </c>
      <c r="J60" s="164">
        <v>466.6</v>
      </c>
      <c r="K60" s="157">
        <v>21.4</v>
      </c>
      <c r="L60" s="148">
        <v>640</v>
      </c>
      <c r="M60" s="148">
        <f t="shared" si="0"/>
        <v>29.90654205607477</v>
      </c>
      <c r="N60" s="150">
        <f t="shared" si="9"/>
        <v>0</v>
      </c>
      <c r="O60" s="148">
        <f t="shared" si="5"/>
        <v>29.90654205607477</v>
      </c>
      <c r="P60" s="131"/>
    </row>
    <row r="61" spans="1:16" x14ac:dyDescent="0.2">
      <c r="A61" s="131"/>
      <c r="B61" s="178"/>
      <c r="C61" s="206"/>
      <c r="D61" s="139" t="s">
        <v>264</v>
      </c>
      <c r="E61" s="144">
        <v>16</v>
      </c>
      <c r="F61" s="145" t="str">
        <f t="shared" si="11"/>
        <v>44,5 + 16</v>
      </c>
      <c r="G61" s="144" t="s">
        <v>254</v>
      </c>
      <c r="H61" s="144" t="s">
        <v>265</v>
      </c>
      <c r="I61" s="146">
        <v>2</v>
      </c>
      <c r="J61" s="164">
        <v>504.3</v>
      </c>
      <c r="K61" s="157">
        <v>19.8</v>
      </c>
      <c r="L61" s="148">
        <v>640</v>
      </c>
      <c r="M61" s="148">
        <f t="shared" si="0"/>
        <v>32.323232323232325</v>
      </c>
      <c r="N61" s="150">
        <f t="shared" si="9"/>
        <v>0</v>
      </c>
      <c r="O61" s="148">
        <f t="shared" si="5"/>
        <v>32.323232323232325</v>
      </c>
      <c r="P61" s="131"/>
    </row>
    <row r="62" spans="1:16" x14ac:dyDescent="0.2">
      <c r="A62" s="131"/>
      <c r="B62" s="178"/>
      <c r="C62" s="206"/>
      <c r="D62" s="139" t="s">
        <v>264</v>
      </c>
      <c r="E62" s="144">
        <v>19</v>
      </c>
      <c r="F62" s="145" t="str">
        <f t="shared" si="11"/>
        <v>44,5 + 19</v>
      </c>
      <c r="G62" s="144" t="s">
        <v>254</v>
      </c>
      <c r="H62" s="144" t="s">
        <v>265</v>
      </c>
      <c r="I62" s="146">
        <v>2</v>
      </c>
      <c r="J62" s="164">
        <v>542</v>
      </c>
      <c r="K62" s="157">
        <v>18.5</v>
      </c>
      <c r="L62" s="148">
        <v>640</v>
      </c>
      <c r="M62" s="148">
        <f t="shared" si="0"/>
        <v>34.594594594594597</v>
      </c>
      <c r="N62" s="150">
        <f t="shared" si="9"/>
        <v>0</v>
      </c>
      <c r="O62" s="148">
        <f t="shared" si="5"/>
        <v>34.594594594594597</v>
      </c>
      <c r="P62" s="131"/>
    </row>
    <row r="63" spans="1:16" x14ac:dyDescent="0.2">
      <c r="A63" s="131"/>
      <c r="B63" s="178"/>
      <c r="C63" s="205"/>
      <c r="D63" s="139" t="s">
        <v>264</v>
      </c>
      <c r="E63" s="144">
        <v>25</v>
      </c>
      <c r="F63" s="145" t="str">
        <f t="shared" si="11"/>
        <v>44,5 + 25</v>
      </c>
      <c r="G63" s="144" t="s">
        <v>254</v>
      </c>
      <c r="H63" s="144" t="s">
        <v>265</v>
      </c>
      <c r="I63" s="146">
        <v>3</v>
      </c>
      <c r="J63" s="164">
        <v>926</v>
      </c>
      <c r="K63" s="157">
        <v>10.8</v>
      </c>
      <c r="L63" s="148">
        <v>640</v>
      </c>
      <c r="M63" s="148">
        <f t="shared" si="0"/>
        <v>59.259259259259252</v>
      </c>
      <c r="N63" s="150">
        <f t="shared" si="9"/>
        <v>0</v>
      </c>
      <c r="O63" s="148">
        <f t="shared" si="5"/>
        <v>59.259259259259252</v>
      </c>
      <c r="P63" s="131"/>
    </row>
    <row r="64" spans="1:16" x14ac:dyDescent="0.2">
      <c r="A64" s="131"/>
      <c r="B64" s="178"/>
      <c r="C64" s="204">
        <v>51</v>
      </c>
      <c r="D64" s="139" t="s">
        <v>264</v>
      </c>
      <c r="E64" s="144">
        <v>13</v>
      </c>
      <c r="F64" s="145" t="str">
        <f>$C$58&amp;" + "&amp;E64</f>
        <v xml:space="preserve"> + 13</v>
      </c>
      <c r="G64" s="144" t="s">
        <v>265</v>
      </c>
      <c r="H64" s="144" t="s">
        <v>266</v>
      </c>
      <c r="I64" s="146">
        <v>2</v>
      </c>
      <c r="J64" s="164">
        <v>483.6</v>
      </c>
      <c r="K64" s="157">
        <v>20.7</v>
      </c>
      <c r="L64" s="148">
        <v>640</v>
      </c>
      <c r="M64" s="148">
        <f t="shared" si="0"/>
        <v>30.917874396135268</v>
      </c>
      <c r="N64" s="150">
        <f t="shared" si="9"/>
        <v>0</v>
      </c>
      <c r="O64" s="148">
        <f t="shared" si="5"/>
        <v>30.917874396135268</v>
      </c>
      <c r="P64" s="131"/>
    </row>
    <row r="65" spans="1:16" x14ac:dyDescent="0.2">
      <c r="A65" s="131"/>
      <c r="B65" s="178"/>
      <c r="C65" s="206"/>
      <c r="D65" s="139" t="s">
        <v>264</v>
      </c>
      <c r="E65" s="144">
        <v>16</v>
      </c>
      <c r="F65" s="145" t="str">
        <f t="shared" ref="F65:F67" si="12">$C$58&amp;" + "&amp;E65</f>
        <v xml:space="preserve"> + 16</v>
      </c>
      <c r="G65" s="144" t="s">
        <v>254</v>
      </c>
      <c r="H65" s="144" t="s">
        <v>265</v>
      </c>
      <c r="I65" s="146">
        <v>2</v>
      </c>
      <c r="J65" s="164">
        <v>521.20000000000005</v>
      </c>
      <c r="K65" s="157">
        <v>19.2</v>
      </c>
      <c r="L65" s="148">
        <v>640</v>
      </c>
      <c r="M65" s="148">
        <f t="shared" si="0"/>
        <v>33.333333333333336</v>
      </c>
      <c r="N65" s="150">
        <f t="shared" si="9"/>
        <v>0</v>
      </c>
      <c r="O65" s="148">
        <f t="shared" si="5"/>
        <v>33.333333333333336</v>
      </c>
      <c r="P65" s="131"/>
    </row>
    <row r="66" spans="1:16" x14ac:dyDescent="0.2">
      <c r="A66" s="131"/>
      <c r="B66" s="178"/>
      <c r="C66" s="206"/>
      <c r="D66" s="139" t="s">
        <v>264</v>
      </c>
      <c r="E66" s="144">
        <v>19</v>
      </c>
      <c r="F66" s="145" t="str">
        <f t="shared" si="12"/>
        <v xml:space="preserve"> + 19</v>
      </c>
      <c r="G66" s="144" t="s">
        <v>254</v>
      </c>
      <c r="H66" s="144" t="s">
        <v>265</v>
      </c>
      <c r="I66" s="146">
        <v>2</v>
      </c>
      <c r="J66" s="164">
        <v>558.9</v>
      </c>
      <c r="K66" s="157">
        <v>17.899999999999999</v>
      </c>
      <c r="L66" s="148">
        <v>640</v>
      </c>
      <c r="M66" s="148">
        <f t="shared" si="0"/>
        <v>35.754189944134083</v>
      </c>
      <c r="N66" s="150">
        <f t="shared" si="9"/>
        <v>0</v>
      </c>
      <c r="O66" s="148">
        <f t="shared" si="5"/>
        <v>35.754189944134083</v>
      </c>
      <c r="P66" s="131"/>
    </row>
    <row r="67" spans="1:16" x14ac:dyDescent="0.2">
      <c r="A67" s="131"/>
      <c r="B67" s="178"/>
      <c r="C67" s="205"/>
      <c r="D67" s="139" t="s">
        <v>264</v>
      </c>
      <c r="E67" s="144">
        <v>25</v>
      </c>
      <c r="F67" s="145" t="str">
        <f t="shared" si="12"/>
        <v xml:space="preserve"> + 25</v>
      </c>
      <c r="G67" s="144" t="s">
        <v>254</v>
      </c>
      <c r="H67" s="144" t="s">
        <v>265</v>
      </c>
      <c r="I67" s="146">
        <v>3</v>
      </c>
      <c r="J67" s="164">
        <v>951.4</v>
      </c>
      <c r="K67" s="157">
        <v>10.5</v>
      </c>
      <c r="L67" s="148">
        <v>640</v>
      </c>
      <c r="M67" s="148">
        <f t="shared" si="0"/>
        <v>60.952380952380949</v>
      </c>
      <c r="N67" s="150">
        <f t="shared" si="9"/>
        <v>0</v>
      </c>
      <c r="O67" s="148">
        <f t="shared" si="5"/>
        <v>60.952380952380949</v>
      </c>
      <c r="P67" s="131"/>
    </row>
    <row r="68" spans="1:16" x14ac:dyDescent="0.2">
      <c r="A68" s="131"/>
      <c r="B68" s="178"/>
      <c r="C68" s="204">
        <v>54</v>
      </c>
      <c r="D68" s="139" t="s">
        <v>264</v>
      </c>
      <c r="E68" s="144">
        <v>13</v>
      </c>
      <c r="F68" s="145" t="str">
        <f>$C$62&amp;" + "&amp;E68</f>
        <v xml:space="preserve"> + 13</v>
      </c>
      <c r="G68" s="144" t="s">
        <v>265</v>
      </c>
      <c r="H68" s="144" t="s">
        <v>266</v>
      </c>
      <c r="I68" s="146">
        <v>2</v>
      </c>
      <c r="J68" s="164">
        <v>502.4</v>
      </c>
      <c r="K68" s="157">
        <v>19.899999999999999</v>
      </c>
      <c r="L68" s="148">
        <v>640</v>
      </c>
      <c r="M68" s="148">
        <f t="shared" si="0"/>
        <v>32.160804020100507</v>
      </c>
      <c r="N68" s="150">
        <f t="shared" si="9"/>
        <v>0</v>
      </c>
      <c r="O68" s="148">
        <f t="shared" si="5"/>
        <v>32.160804020100507</v>
      </c>
      <c r="P68" s="131"/>
    </row>
    <row r="69" spans="1:16" x14ac:dyDescent="0.2">
      <c r="A69" s="131"/>
      <c r="B69" s="178"/>
      <c r="C69" s="206"/>
      <c r="D69" s="139" t="s">
        <v>264</v>
      </c>
      <c r="E69" s="144">
        <v>16</v>
      </c>
      <c r="F69" s="145" t="str">
        <f t="shared" ref="F69:F71" si="13">$C$62&amp;" + "&amp;E69</f>
        <v xml:space="preserve"> + 16</v>
      </c>
      <c r="G69" s="144" t="s">
        <v>254</v>
      </c>
      <c r="H69" s="144" t="s">
        <v>265</v>
      </c>
      <c r="I69" s="146">
        <v>2</v>
      </c>
      <c r="J69" s="164">
        <v>540.1</v>
      </c>
      <c r="K69" s="157">
        <v>18.5</v>
      </c>
      <c r="L69" s="148">
        <v>640</v>
      </c>
      <c r="M69" s="148">
        <f t="shared" si="0"/>
        <v>34.594594594594597</v>
      </c>
      <c r="N69" s="150">
        <f t="shared" si="9"/>
        <v>0</v>
      </c>
      <c r="O69" s="148">
        <f t="shared" si="5"/>
        <v>34.594594594594597</v>
      </c>
      <c r="P69" s="131"/>
    </row>
    <row r="70" spans="1:16" x14ac:dyDescent="0.2">
      <c r="A70" s="131"/>
      <c r="B70" s="178"/>
      <c r="C70" s="206"/>
      <c r="D70" s="139" t="s">
        <v>264</v>
      </c>
      <c r="E70" s="144">
        <v>19</v>
      </c>
      <c r="F70" s="145" t="str">
        <f t="shared" si="13"/>
        <v xml:space="preserve"> + 19</v>
      </c>
      <c r="G70" s="144" t="s">
        <v>254</v>
      </c>
      <c r="H70" s="144" t="s">
        <v>265</v>
      </c>
      <c r="I70" s="146">
        <v>2</v>
      </c>
      <c r="J70" s="164">
        <v>577.79999999999995</v>
      </c>
      <c r="K70" s="157">
        <v>17.3</v>
      </c>
      <c r="L70" s="148">
        <v>640</v>
      </c>
      <c r="M70" s="148">
        <f t="shared" si="0"/>
        <v>36.994219653179186</v>
      </c>
      <c r="N70" s="150">
        <f t="shared" si="9"/>
        <v>0</v>
      </c>
      <c r="O70" s="148">
        <f t="shared" si="5"/>
        <v>36.994219653179186</v>
      </c>
      <c r="P70" s="131"/>
    </row>
    <row r="71" spans="1:16" x14ac:dyDescent="0.2">
      <c r="A71" s="131"/>
      <c r="B71" s="178"/>
      <c r="C71" s="205"/>
      <c r="D71" s="139" t="s">
        <v>264</v>
      </c>
      <c r="E71" s="144">
        <v>25</v>
      </c>
      <c r="F71" s="145" t="str">
        <f t="shared" si="13"/>
        <v xml:space="preserve"> + 25</v>
      </c>
      <c r="G71" s="144" t="s">
        <v>254</v>
      </c>
      <c r="H71" s="144" t="s">
        <v>265</v>
      </c>
      <c r="I71" s="146">
        <v>3</v>
      </c>
      <c r="J71" s="164">
        <v>979.7</v>
      </c>
      <c r="K71" s="157">
        <v>10.199999999999999</v>
      </c>
      <c r="L71" s="148">
        <v>640</v>
      </c>
      <c r="M71" s="148">
        <f t="shared" si="0"/>
        <v>62.745098039215691</v>
      </c>
      <c r="N71" s="150">
        <f t="shared" si="9"/>
        <v>0</v>
      </c>
      <c r="O71" s="148">
        <f t="shared" si="5"/>
        <v>62.745098039215691</v>
      </c>
      <c r="P71" s="131"/>
    </row>
    <row r="72" spans="1:16" x14ac:dyDescent="0.2">
      <c r="A72" s="131"/>
      <c r="B72" s="178"/>
      <c r="C72" s="204">
        <v>57</v>
      </c>
      <c r="D72" s="139" t="s">
        <v>264</v>
      </c>
      <c r="E72" s="144">
        <v>16</v>
      </c>
      <c r="F72" s="145" t="str">
        <f>$C$66&amp;" + "&amp;E72</f>
        <v xml:space="preserve"> + 16</v>
      </c>
      <c r="G72" s="144" t="s">
        <v>254</v>
      </c>
      <c r="H72" s="144" t="s">
        <v>265</v>
      </c>
      <c r="I72" s="146">
        <v>2</v>
      </c>
      <c r="J72" s="164">
        <v>558.9</v>
      </c>
      <c r="K72" s="157">
        <v>17.899999999999999</v>
      </c>
      <c r="L72" s="148">
        <v>640</v>
      </c>
      <c r="M72" s="148">
        <f t="shared" si="0"/>
        <v>35.754189944134083</v>
      </c>
      <c r="N72" s="150">
        <f t="shared" si="9"/>
        <v>0</v>
      </c>
      <c r="O72" s="148">
        <f t="shared" si="5"/>
        <v>35.754189944134083</v>
      </c>
      <c r="P72" s="131"/>
    </row>
    <row r="73" spans="1:16" x14ac:dyDescent="0.2">
      <c r="A73" s="131"/>
      <c r="B73" s="178"/>
      <c r="C73" s="206"/>
      <c r="D73" s="139" t="s">
        <v>264</v>
      </c>
      <c r="E73" s="144">
        <v>19</v>
      </c>
      <c r="F73" s="145" t="str">
        <f t="shared" ref="F73:F75" si="14">$C$66&amp;" + "&amp;E73</f>
        <v xml:space="preserve"> + 19</v>
      </c>
      <c r="G73" s="144" t="s">
        <v>254</v>
      </c>
      <c r="H73" s="144" t="s">
        <v>265</v>
      </c>
      <c r="I73" s="146">
        <v>2</v>
      </c>
      <c r="J73" s="164">
        <v>596.6</v>
      </c>
      <c r="K73" s="157">
        <v>16.8</v>
      </c>
      <c r="L73" s="148">
        <v>640</v>
      </c>
      <c r="M73" s="148">
        <f t="shared" si="0"/>
        <v>38.095238095238095</v>
      </c>
      <c r="N73" s="150">
        <f t="shared" si="9"/>
        <v>0</v>
      </c>
      <c r="O73" s="148">
        <f t="shared" si="5"/>
        <v>38.095238095238095</v>
      </c>
      <c r="P73" s="131"/>
    </row>
    <row r="74" spans="1:16" x14ac:dyDescent="0.2">
      <c r="A74" s="131"/>
      <c r="B74" s="178"/>
      <c r="C74" s="206"/>
      <c r="D74" s="139" t="s">
        <v>264</v>
      </c>
      <c r="E74" s="144">
        <v>25</v>
      </c>
      <c r="F74" s="145" t="str">
        <f t="shared" si="14"/>
        <v xml:space="preserve"> + 25</v>
      </c>
      <c r="G74" s="144" t="s">
        <v>254</v>
      </c>
      <c r="H74" s="144" t="s">
        <v>265</v>
      </c>
      <c r="I74" s="146">
        <v>3</v>
      </c>
      <c r="J74" s="164">
        <v>1007.9</v>
      </c>
      <c r="K74" s="157">
        <v>9.9</v>
      </c>
      <c r="L74" s="148">
        <v>640</v>
      </c>
      <c r="M74" s="148">
        <f t="shared" si="0"/>
        <v>64.646464646464651</v>
      </c>
      <c r="N74" s="150">
        <f t="shared" si="9"/>
        <v>0</v>
      </c>
      <c r="O74" s="148">
        <f t="shared" si="5"/>
        <v>64.646464646464651</v>
      </c>
      <c r="P74" s="131"/>
    </row>
    <row r="75" spans="1:16" x14ac:dyDescent="0.2">
      <c r="A75" s="131"/>
      <c r="B75" s="178"/>
      <c r="C75" s="205"/>
      <c r="D75" s="139" t="s">
        <v>264</v>
      </c>
      <c r="E75" s="144">
        <v>32</v>
      </c>
      <c r="F75" s="145" t="str">
        <f t="shared" si="14"/>
        <v xml:space="preserve"> + 32</v>
      </c>
      <c r="G75" s="144" t="s">
        <v>254</v>
      </c>
      <c r="H75" s="144" t="s">
        <v>265</v>
      </c>
      <c r="I75" s="146">
        <v>3</v>
      </c>
      <c r="J75" s="164">
        <v>1139.8</v>
      </c>
      <c r="K75" s="157">
        <v>8.8000000000000007</v>
      </c>
      <c r="L75" s="148">
        <v>640</v>
      </c>
      <c r="M75" s="148">
        <f t="shared" si="0"/>
        <v>72.72727272727272</v>
      </c>
      <c r="N75" s="150">
        <f t="shared" si="9"/>
        <v>0</v>
      </c>
      <c r="O75" s="148">
        <f t="shared" si="5"/>
        <v>72.72727272727272</v>
      </c>
      <c r="P75" s="131"/>
    </row>
    <row r="76" spans="1:16" x14ac:dyDescent="0.2">
      <c r="A76" s="131"/>
      <c r="B76" s="178"/>
      <c r="C76" s="204">
        <v>60.3</v>
      </c>
      <c r="D76" s="139" t="s">
        <v>264</v>
      </c>
      <c r="E76" s="144">
        <v>16</v>
      </c>
      <c r="F76" s="145" t="str">
        <f>$C$70&amp;" + "&amp;E76</f>
        <v xml:space="preserve"> + 16</v>
      </c>
      <c r="G76" s="144" t="s">
        <v>265</v>
      </c>
      <c r="H76" s="144" t="s">
        <v>266</v>
      </c>
      <c r="I76" s="146">
        <v>2</v>
      </c>
      <c r="J76" s="164">
        <v>579.6</v>
      </c>
      <c r="K76" s="157">
        <v>17.3</v>
      </c>
      <c r="L76" s="148">
        <v>640</v>
      </c>
      <c r="M76" s="148">
        <f t="shared" si="0"/>
        <v>36.994219653179186</v>
      </c>
      <c r="N76" s="150">
        <f t="shared" si="9"/>
        <v>0</v>
      </c>
      <c r="O76" s="148">
        <f t="shared" si="5"/>
        <v>36.994219653179186</v>
      </c>
      <c r="P76" s="131"/>
    </row>
    <row r="77" spans="1:16" x14ac:dyDescent="0.2">
      <c r="A77" s="131"/>
      <c r="B77" s="178"/>
      <c r="C77" s="206"/>
      <c r="D77" s="139" t="s">
        <v>264</v>
      </c>
      <c r="E77" s="144">
        <v>19</v>
      </c>
      <c r="F77" s="145" t="str">
        <f t="shared" ref="F77:F79" si="15">$C$70&amp;" + "&amp;E77</f>
        <v xml:space="preserve"> + 19</v>
      </c>
      <c r="G77" s="144" t="s">
        <v>254</v>
      </c>
      <c r="H77" s="144" t="s">
        <v>265</v>
      </c>
      <c r="I77" s="146">
        <v>2</v>
      </c>
      <c r="J77" s="164">
        <v>617.29999999999995</v>
      </c>
      <c r="K77" s="157">
        <v>16.2</v>
      </c>
      <c r="L77" s="148">
        <v>640</v>
      </c>
      <c r="M77" s="148">
        <f t="shared" si="0"/>
        <v>39.506172839506178</v>
      </c>
      <c r="N77" s="150">
        <f t="shared" si="9"/>
        <v>0</v>
      </c>
      <c r="O77" s="148">
        <f t="shared" si="5"/>
        <v>39.506172839506178</v>
      </c>
      <c r="P77" s="131"/>
    </row>
    <row r="78" spans="1:16" x14ac:dyDescent="0.2">
      <c r="A78" s="131"/>
      <c r="B78" s="178"/>
      <c r="C78" s="206"/>
      <c r="D78" s="139" t="s">
        <v>264</v>
      </c>
      <c r="E78" s="144">
        <v>25</v>
      </c>
      <c r="F78" s="145" t="str">
        <f t="shared" si="15"/>
        <v xml:space="preserve"> + 25</v>
      </c>
      <c r="G78" s="144" t="s">
        <v>254</v>
      </c>
      <c r="H78" s="144" t="s">
        <v>265</v>
      </c>
      <c r="I78" s="146">
        <v>3</v>
      </c>
      <c r="J78" s="164">
        <v>1039</v>
      </c>
      <c r="K78" s="157">
        <v>9.6</v>
      </c>
      <c r="L78" s="148">
        <v>640</v>
      </c>
      <c r="M78" s="148">
        <f t="shared" si="0"/>
        <v>66.666666666666671</v>
      </c>
      <c r="N78" s="150">
        <f t="shared" si="9"/>
        <v>0</v>
      </c>
      <c r="O78" s="148">
        <f t="shared" si="5"/>
        <v>66.666666666666671</v>
      </c>
      <c r="P78" s="131"/>
    </row>
    <row r="79" spans="1:16" x14ac:dyDescent="0.2">
      <c r="A79" s="131"/>
      <c r="B79" s="178"/>
      <c r="C79" s="205"/>
      <c r="D79" s="139" t="s">
        <v>264</v>
      </c>
      <c r="E79" s="144">
        <v>32</v>
      </c>
      <c r="F79" s="145" t="str">
        <f t="shared" si="15"/>
        <v xml:space="preserve"> + 32</v>
      </c>
      <c r="G79" s="144" t="s">
        <v>254</v>
      </c>
      <c r="H79" s="144" t="s">
        <v>265</v>
      </c>
      <c r="I79" s="146">
        <v>3</v>
      </c>
      <c r="J79" s="164">
        <v>1170.9000000000001</v>
      </c>
      <c r="K79" s="157">
        <v>8.5</v>
      </c>
      <c r="L79" s="148">
        <v>640</v>
      </c>
      <c r="M79" s="148">
        <f t="shared" si="0"/>
        <v>75.294117647058826</v>
      </c>
      <c r="N79" s="150">
        <f t="shared" si="9"/>
        <v>0</v>
      </c>
      <c r="O79" s="148">
        <f t="shared" si="5"/>
        <v>75.294117647058826</v>
      </c>
      <c r="P79" s="131"/>
    </row>
    <row r="80" spans="1:16" x14ac:dyDescent="0.2">
      <c r="A80" s="131"/>
      <c r="B80" s="178"/>
      <c r="C80" s="204">
        <v>63.5</v>
      </c>
      <c r="D80" s="139" t="s">
        <v>264</v>
      </c>
      <c r="E80" s="144">
        <v>19</v>
      </c>
      <c r="F80" s="145" t="str">
        <f>$C$74&amp;" + "&amp;E80</f>
        <v xml:space="preserve"> + 19</v>
      </c>
      <c r="G80" s="144" t="s">
        <v>254</v>
      </c>
      <c r="H80" s="144" t="s">
        <v>265</v>
      </c>
      <c r="I80" s="146">
        <v>2</v>
      </c>
      <c r="J80" s="164">
        <v>637.4</v>
      </c>
      <c r="K80" s="157">
        <v>15.7</v>
      </c>
      <c r="L80" s="148">
        <v>640</v>
      </c>
      <c r="M80" s="148">
        <f t="shared" si="0"/>
        <v>40.764331210191088</v>
      </c>
      <c r="N80" s="150">
        <f t="shared" si="9"/>
        <v>0</v>
      </c>
      <c r="O80" s="148">
        <f t="shared" si="5"/>
        <v>40.764331210191088</v>
      </c>
      <c r="P80" s="131"/>
    </row>
    <row r="81" spans="1:16" x14ac:dyDescent="0.2">
      <c r="A81" s="131"/>
      <c r="B81" s="178"/>
      <c r="C81" s="206"/>
      <c r="D81" s="139" t="s">
        <v>264</v>
      </c>
      <c r="E81" s="144">
        <v>25</v>
      </c>
      <c r="F81" s="145" t="str">
        <f t="shared" ref="F81:F82" si="16">$C$74&amp;" + "&amp;E81</f>
        <v xml:space="preserve"> + 25</v>
      </c>
      <c r="G81" s="144" t="s">
        <v>254</v>
      </c>
      <c r="H81" s="144" t="s">
        <v>265</v>
      </c>
      <c r="I81" s="146">
        <v>3</v>
      </c>
      <c r="J81" s="164">
        <v>1069.2</v>
      </c>
      <c r="K81" s="157">
        <v>9.4</v>
      </c>
      <c r="L81" s="148">
        <v>640</v>
      </c>
      <c r="M81" s="148">
        <f t="shared" si="0"/>
        <v>68.085106382978722</v>
      </c>
      <c r="N81" s="150">
        <f t="shared" si="9"/>
        <v>0</v>
      </c>
      <c r="O81" s="148">
        <f t="shared" si="5"/>
        <v>68.085106382978722</v>
      </c>
      <c r="P81" s="131"/>
    </row>
    <row r="82" spans="1:16" x14ac:dyDescent="0.2">
      <c r="A82" s="131"/>
      <c r="B82" s="178"/>
      <c r="C82" s="205"/>
      <c r="D82" s="139" t="s">
        <v>264</v>
      </c>
      <c r="E82" s="144">
        <v>32</v>
      </c>
      <c r="F82" s="145" t="str">
        <f t="shared" si="16"/>
        <v xml:space="preserve"> + 32</v>
      </c>
      <c r="G82" s="144" t="s">
        <v>254</v>
      </c>
      <c r="H82" s="144" t="s">
        <v>265</v>
      </c>
      <c r="I82" s="146">
        <v>3</v>
      </c>
      <c r="J82" s="164">
        <v>1201.0999999999999</v>
      </c>
      <c r="K82" s="157">
        <v>8.3000000000000007</v>
      </c>
      <c r="L82" s="148">
        <v>640</v>
      </c>
      <c r="M82" s="148">
        <f t="shared" si="0"/>
        <v>77.108433734939752</v>
      </c>
      <c r="N82" s="150">
        <f t="shared" si="9"/>
        <v>0</v>
      </c>
      <c r="O82" s="148">
        <f t="shared" si="5"/>
        <v>77.108433734939752</v>
      </c>
      <c r="P82" s="131"/>
    </row>
    <row r="83" spans="1:16" x14ac:dyDescent="0.2">
      <c r="A83" s="131"/>
      <c r="B83" s="178"/>
      <c r="C83" s="204">
        <v>70</v>
      </c>
      <c r="D83" s="139" t="s">
        <v>264</v>
      </c>
      <c r="E83" s="144">
        <v>25</v>
      </c>
      <c r="F83" s="145" t="str">
        <f>$C$77&amp;" + "&amp;E83</f>
        <v xml:space="preserve"> + 25</v>
      </c>
      <c r="G83" s="144" t="s">
        <v>254</v>
      </c>
      <c r="H83" s="144" t="s">
        <v>265</v>
      </c>
      <c r="I83" s="146">
        <v>3</v>
      </c>
      <c r="J83" s="164">
        <v>1130.4000000000001</v>
      </c>
      <c r="K83" s="157">
        <v>8.8000000000000007</v>
      </c>
      <c r="L83" s="148">
        <v>640</v>
      </c>
      <c r="M83" s="148">
        <f t="shared" si="0"/>
        <v>72.72727272727272</v>
      </c>
      <c r="N83" s="150">
        <f t="shared" si="9"/>
        <v>0</v>
      </c>
      <c r="O83" s="148">
        <f t="shared" si="5"/>
        <v>72.72727272727272</v>
      </c>
      <c r="P83" s="131"/>
    </row>
    <row r="84" spans="1:16" x14ac:dyDescent="0.2">
      <c r="A84" s="131"/>
      <c r="B84" s="178"/>
      <c r="C84" s="206"/>
      <c r="D84" s="139" t="s">
        <v>264</v>
      </c>
      <c r="E84" s="144">
        <v>32</v>
      </c>
      <c r="F84" s="145" t="str">
        <f t="shared" ref="F84:F85" si="17">$C$77&amp;" + "&amp;E84</f>
        <v xml:space="preserve"> + 32</v>
      </c>
      <c r="G84" s="144" t="s">
        <v>254</v>
      </c>
      <c r="H84" s="144" t="s">
        <v>265</v>
      </c>
      <c r="I84" s="146">
        <v>3</v>
      </c>
      <c r="J84" s="164">
        <v>1262.3</v>
      </c>
      <c r="K84" s="157">
        <v>7.9</v>
      </c>
      <c r="L84" s="148">
        <v>640</v>
      </c>
      <c r="M84" s="148">
        <f t="shared" si="0"/>
        <v>81.012658227848092</v>
      </c>
      <c r="N84" s="150">
        <f t="shared" si="9"/>
        <v>0</v>
      </c>
      <c r="O84" s="148">
        <f t="shared" si="5"/>
        <v>81.012658227848092</v>
      </c>
      <c r="P84" s="131"/>
    </row>
    <row r="85" spans="1:16" x14ac:dyDescent="0.2">
      <c r="A85" s="131"/>
      <c r="B85" s="178"/>
      <c r="C85" s="205"/>
      <c r="D85" s="139" t="s">
        <v>264</v>
      </c>
      <c r="E85" s="144">
        <v>40</v>
      </c>
      <c r="F85" s="145" t="str">
        <f t="shared" si="17"/>
        <v xml:space="preserve"> + 40</v>
      </c>
      <c r="G85" s="144" t="s">
        <v>254</v>
      </c>
      <c r="H85" s="144" t="s">
        <v>265</v>
      </c>
      <c r="I85" s="146">
        <v>4</v>
      </c>
      <c r="J85" s="164">
        <v>1884</v>
      </c>
      <c r="K85" s="157">
        <v>5.3</v>
      </c>
      <c r="L85" s="148">
        <v>640</v>
      </c>
      <c r="M85" s="148">
        <f t="shared" si="0"/>
        <v>120.75471698113208</v>
      </c>
      <c r="N85" s="150">
        <f t="shared" si="9"/>
        <v>0</v>
      </c>
      <c r="O85" s="148">
        <f t="shared" si="5"/>
        <v>120.75471698113208</v>
      </c>
      <c r="P85" s="131"/>
    </row>
    <row r="86" spans="1:16" x14ac:dyDescent="0.2">
      <c r="A86" s="131"/>
      <c r="B86" s="178"/>
      <c r="C86" s="204">
        <v>73</v>
      </c>
      <c r="D86" s="139" t="s">
        <v>264</v>
      </c>
      <c r="E86" s="144">
        <v>25</v>
      </c>
      <c r="F86" s="145" t="str">
        <f>$C$80&amp;" + "&amp;E86</f>
        <v>63,5 + 25</v>
      </c>
      <c r="G86" s="144" t="s">
        <v>254</v>
      </c>
      <c r="H86" s="144" t="s">
        <v>265</v>
      </c>
      <c r="I86" s="146">
        <v>3</v>
      </c>
      <c r="J86" s="164">
        <v>1158.7</v>
      </c>
      <c r="K86" s="157">
        <v>8.6</v>
      </c>
      <c r="L86" s="148">
        <v>640</v>
      </c>
      <c r="M86" s="148">
        <f t="shared" si="0"/>
        <v>74.418604651162795</v>
      </c>
      <c r="N86" s="150">
        <f t="shared" si="9"/>
        <v>0</v>
      </c>
      <c r="O86" s="148">
        <f t="shared" si="5"/>
        <v>74.418604651162795</v>
      </c>
      <c r="P86" s="131"/>
    </row>
    <row r="87" spans="1:16" x14ac:dyDescent="0.2">
      <c r="A87" s="131"/>
      <c r="B87" s="178"/>
      <c r="C87" s="206"/>
      <c r="D87" s="139" t="s">
        <v>264</v>
      </c>
      <c r="E87" s="144">
        <v>32</v>
      </c>
      <c r="F87" s="145" t="str">
        <f t="shared" ref="F87:F88" si="18">$C$80&amp;" + "&amp;E87</f>
        <v>63,5 + 32</v>
      </c>
      <c r="G87" s="144" t="s">
        <v>254</v>
      </c>
      <c r="H87" s="144" t="s">
        <v>265</v>
      </c>
      <c r="I87" s="146">
        <v>3</v>
      </c>
      <c r="J87" s="164">
        <v>1290.5</v>
      </c>
      <c r="K87" s="157">
        <v>7.7</v>
      </c>
      <c r="L87" s="148">
        <v>640</v>
      </c>
      <c r="M87" s="148">
        <f t="shared" si="0"/>
        <v>83.116883116883116</v>
      </c>
      <c r="N87" s="150">
        <f t="shared" si="9"/>
        <v>0</v>
      </c>
      <c r="O87" s="148">
        <f t="shared" si="5"/>
        <v>83.116883116883116</v>
      </c>
      <c r="P87" s="131"/>
    </row>
    <row r="88" spans="1:16" x14ac:dyDescent="0.2">
      <c r="A88" s="131"/>
      <c r="B88" s="178"/>
      <c r="C88" s="205"/>
      <c r="D88" s="139" t="s">
        <v>264</v>
      </c>
      <c r="E88" s="144">
        <v>40</v>
      </c>
      <c r="F88" s="145" t="str">
        <f t="shared" si="18"/>
        <v>63,5 + 40</v>
      </c>
      <c r="G88" s="144" t="s">
        <v>254</v>
      </c>
      <c r="H88" s="144" t="s">
        <v>265</v>
      </c>
      <c r="I88" s="146">
        <v>4</v>
      </c>
      <c r="J88" s="164">
        <v>1921.7</v>
      </c>
      <c r="K88" s="157">
        <v>5.2</v>
      </c>
      <c r="L88" s="148">
        <v>640</v>
      </c>
      <c r="M88" s="148">
        <f t="shared" si="0"/>
        <v>123.07692307692307</v>
      </c>
      <c r="N88" s="150">
        <f t="shared" si="9"/>
        <v>0</v>
      </c>
      <c r="O88" s="148">
        <f t="shared" si="5"/>
        <v>123.07692307692307</v>
      </c>
      <c r="P88" s="131"/>
    </row>
    <row r="89" spans="1:16" x14ac:dyDescent="0.2">
      <c r="A89" s="131"/>
      <c r="B89" s="178"/>
      <c r="C89" s="204">
        <v>76.099999999999994</v>
      </c>
      <c r="D89" s="139" t="s">
        <v>264</v>
      </c>
      <c r="E89" s="144">
        <v>25</v>
      </c>
      <c r="F89" s="145" t="str">
        <f>$C$83&amp;" + "&amp;E89</f>
        <v>70 + 25</v>
      </c>
      <c r="G89" s="144" t="s">
        <v>254</v>
      </c>
      <c r="H89" s="144" t="s">
        <v>265</v>
      </c>
      <c r="I89" s="146">
        <v>3</v>
      </c>
      <c r="J89" s="164">
        <v>1187.9000000000001</v>
      </c>
      <c r="K89" s="157">
        <v>8.4</v>
      </c>
      <c r="L89" s="148">
        <v>640</v>
      </c>
      <c r="M89" s="148">
        <f t="shared" si="0"/>
        <v>76.19047619047619</v>
      </c>
      <c r="N89" s="150">
        <f t="shared" si="9"/>
        <v>0</v>
      </c>
      <c r="O89" s="148">
        <f t="shared" si="5"/>
        <v>76.19047619047619</v>
      </c>
      <c r="P89" s="131"/>
    </row>
    <row r="90" spans="1:16" x14ac:dyDescent="0.2">
      <c r="A90" s="131"/>
      <c r="B90" s="178"/>
      <c r="C90" s="206"/>
      <c r="D90" s="139" t="s">
        <v>264</v>
      </c>
      <c r="E90" s="144">
        <v>32</v>
      </c>
      <c r="F90" s="145" t="str">
        <f t="shared" ref="F90:F91" si="19">$C$83&amp;" + "&amp;E90</f>
        <v>70 + 32</v>
      </c>
      <c r="G90" s="144" t="s">
        <v>254</v>
      </c>
      <c r="H90" s="144" t="s">
        <v>265</v>
      </c>
      <c r="I90" s="146">
        <v>3</v>
      </c>
      <c r="J90" s="164">
        <v>1319.7</v>
      </c>
      <c r="K90" s="157">
        <v>7.6</v>
      </c>
      <c r="L90" s="148">
        <v>640</v>
      </c>
      <c r="M90" s="148">
        <f t="shared" si="0"/>
        <v>84.21052631578948</v>
      </c>
      <c r="N90" s="150">
        <f t="shared" si="9"/>
        <v>0</v>
      </c>
      <c r="O90" s="148">
        <f t="shared" si="5"/>
        <v>84.21052631578948</v>
      </c>
      <c r="P90" s="131"/>
    </row>
    <row r="91" spans="1:16" x14ac:dyDescent="0.2">
      <c r="A91" s="131"/>
      <c r="B91" s="178"/>
      <c r="C91" s="205"/>
      <c r="D91" s="139" t="s">
        <v>264</v>
      </c>
      <c r="E91" s="144">
        <v>40</v>
      </c>
      <c r="F91" s="145" t="str">
        <f t="shared" si="19"/>
        <v>70 + 40</v>
      </c>
      <c r="G91" s="144" t="s">
        <v>254</v>
      </c>
      <c r="H91" s="144" t="s">
        <v>265</v>
      </c>
      <c r="I91" s="146">
        <v>4</v>
      </c>
      <c r="J91" s="164">
        <v>1960.6</v>
      </c>
      <c r="K91" s="157">
        <v>5.0999999999999996</v>
      </c>
      <c r="L91" s="148">
        <v>640</v>
      </c>
      <c r="M91" s="148">
        <f t="shared" si="0"/>
        <v>125.49019607843138</v>
      </c>
      <c r="N91" s="150">
        <f t="shared" si="9"/>
        <v>0</v>
      </c>
      <c r="O91" s="148">
        <f t="shared" si="5"/>
        <v>125.49019607843138</v>
      </c>
      <c r="P91" s="131"/>
    </row>
    <row r="92" spans="1:16" x14ac:dyDescent="0.2">
      <c r="A92" s="131"/>
      <c r="B92" s="178"/>
      <c r="C92" s="204">
        <v>82.5</v>
      </c>
      <c r="D92" s="139" t="s">
        <v>264</v>
      </c>
      <c r="E92" s="144">
        <v>32</v>
      </c>
      <c r="F92" s="145" t="str">
        <f>$C$86&amp;" + "&amp;E92</f>
        <v>73 + 32</v>
      </c>
      <c r="G92" s="144" t="s">
        <v>254</v>
      </c>
      <c r="H92" s="144" t="s">
        <v>265</v>
      </c>
      <c r="I92" s="146">
        <v>3</v>
      </c>
      <c r="J92" s="164">
        <v>1380</v>
      </c>
      <c r="K92" s="157">
        <v>7.2</v>
      </c>
      <c r="L92" s="148">
        <v>640</v>
      </c>
      <c r="M92" s="148">
        <f t="shared" si="0"/>
        <v>88.888888888888886</v>
      </c>
      <c r="N92" s="150">
        <f t="shared" si="9"/>
        <v>0</v>
      </c>
      <c r="O92" s="148">
        <f t="shared" si="5"/>
        <v>88.888888888888886</v>
      </c>
      <c r="P92" s="131"/>
    </row>
    <row r="93" spans="1:16" x14ac:dyDescent="0.2">
      <c r="A93" s="131"/>
      <c r="B93" s="178"/>
      <c r="C93" s="205"/>
      <c r="D93" s="139" t="s">
        <v>264</v>
      </c>
      <c r="E93" s="144">
        <v>40</v>
      </c>
      <c r="F93" s="145" t="str">
        <f>$C$86&amp;" + "&amp;E93</f>
        <v>73 + 40</v>
      </c>
      <c r="G93" s="144" t="s">
        <v>254</v>
      </c>
      <c r="H93" s="144" t="s">
        <v>265</v>
      </c>
      <c r="I93" s="146">
        <v>4</v>
      </c>
      <c r="J93" s="164">
        <v>2041</v>
      </c>
      <c r="K93" s="157">
        <v>4.9000000000000004</v>
      </c>
      <c r="L93" s="148">
        <v>640</v>
      </c>
      <c r="M93" s="148">
        <f t="shared" ref="M93:M106" si="20">L93/K93</f>
        <v>130.61224489795919</v>
      </c>
      <c r="N93" s="150">
        <f t="shared" si="9"/>
        <v>0</v>
      </c>
      <c r="O93" s="148">
        <f t="shared" si="5"/>
        <v>130.61224489795919</v>
      </c>
      <c r="P93" s="131"/>
    </row>
    <row r="94" spans="1:16" x14ac:dyDescent="0.2">
      <c r="A94" s="131"/>
      <c r="B94" s="178"/>
      <c r="C94" s="204">
        <v>88.9</v>
      </c>
      <c r="D94" s="139" t="s">
        <v>264</v>
      </c>
      <c r="E94" s="144">
        <v>32</v>
      </c>
      <c r="F94" s="145" t="str">
        <f>$C$88&amp;" + "&amp;E94</f>
        <v xml:space="preserve"> + 32</v>
      </c>
      <c r="G94" s="144" t="s">
        <v>254</v>
      </c>
      <c r="H94" s="144" t="s">
        <v>265</v>
      </c>
      <c r="I94" s="146">
        <v>3</v>
      </c>
      <c r="J94" s="164">
        <v>1440.3</v>
      </c>
      <c r="K94" s="157">
        <v>6.9</v>
      </c>
      <c r="L94" s="148">
        <v>640</v>
      </c>
      <c r="M94" s="148">
        <f t="shared" si="20"/>
        <v>92.753623188405797</v>
      </c>
      <c r="N94" s="150">
        <f t="shared" si="9"/>
        <v>0</v>
      </c>
      <c r="O94" s="148">
        <f t="shared" si="5"/>
        <v>92.753623188405797</v>
      </c>
      <c r="P94" s="131"/>
    </row>
    <row r="95" spans="1:16" x14ac:dyDescent="0.2">
      <c r="A95" s="131"/>
      <c r="B95" s="178"/>
      <c r="C95" s="206"/>
      <c r="D95" s="139" t="s">
        <v>264</v>
      </c>
      <c r="E95" s="144">
        <v>40</v>
      </c>
      <c r="F95" s="145" t="str">
        <f t="shared" ref="F95:F96" si="21">$C$88&amp;" + "&amp;E95</f>
        <v xml:space="preserve"> + 40</v>
      </c>
      <c r="G95" s="144" t="s">
        <v>254</v>
      </c>
      <c r="H95" s="144" t="s">
        <v>265</v>
      </c>
      <c r="I95" s="146">
        <v>4</v>
      </c>
      <c r="J95" s="164">
        <v>2121.4</v>
      </c>
      <c r="K95" s="157">
        <v>4.7</v>
      </c>
      <c r="L95" s="148">
        <v>640</v>
      </c>
      <c r="M95" s="148">
        <f t="shared" si="20"/>
        <v>136.17021276595744</v>
      </c>
      <c r="N95" s="150">
        <f t="shared" si="9"/>
        <v>0</v>
      </c>
      <c r="O95" s="148">
        <f t="shared" si="5"/>
        <v>136.17021276595744</v>
      </c>
      <c r="P95" s="131"/>
    </row>
    <row r="96" spans="1:16" x14ac:dyDescent="0.2">
      <c r="A96" s="131"/>
      <c r="B96" s="178"/>
      <c r="C96" s="205"/>
      <c r="D96" s="139" t="s">
        <v>264</v>
      </c>
      <c r="E96" s="144">
        <v>50</v>
      </c>
      <c r="F96" s="145" t="str">
        <f t="shared" si="21"/>
        <v xml:space="preserve"> + 50</v>
      </c>
      <c r="G96" s="144" t="s">
        <v>254</v>
      </c>
      <c r="H96" s="144" t="s">
        <v>265</v>
      </c>
      <c r="I96" s="146">
        <v>4</v>
      </c>
      <c r="J96" s="164">
        <v>2372.6</v>
      </c>
      <c r="K96" s="157">
        <v>4.2</v>
      </c>
      <c r="L96" s="148">
        <v>640</v>
      </c>
      <c r="M96" s="148">
        <f t="shared" si="20"/>
        <v>152.38095238095238</v>
      </c>
      <c r="N96" s="150">
        <f t="shared" si="9"/>
        <v>0</v>
      </c>
      <c r="O96" s="148">
        <f t="shared" si="5"/>
        <v>152.38095238095238</v>
      </c>
      <c r="P96" s="131"/>
    </row>
    <row r="97" spans="1:16" x14ac:dyDescent="0.2">
      <c r="A97" s="131"/>
      <c r="B97" s="178"/>
      <c r="C97" s="204">
        <v>101.6</v>
      </c>
      <c r="D97" s="139" t="s">
        <v>264</v>
      </c>
      <c r="E97" s="144">
        <v>40</v>
      </c>
      <c r="F97" s="145" t="str">
        <f>$C$91&amp;" + "&amp;E97</f>
        <v xml:space="preserve"> + 40</v>
      </c>
      <c r="G97" s="144" t="s">
        <v>254</v>
      </c>
      <c r="H97" s="144" t="s">
        <v>265</v>
      </c>
      <c r="I97" s="146">
        <v>4</v>
      </c>
      <c r="J97" s="164">
        <v>2280.9</v>
      </c>
      <c r="K97" s="157">
        <v>4.4000000000000004</v>
      </c>
      <c r="L97" s="148">
        <v>640</v>
      </c>
      <c r="M97" s="148">
        <f t="shared" si="20"/>
        <v>145.45454545454544</v>
      </c>
      <c r="N97" s="150">
        <f t="shared" si="9"/>
        <v>0</v>
      </c>
      <c r="O97" s="148">
        <f t="shared" si="5"/>
        <v>145.45454545454544</v>
      </c>
      <c r="P97" s="131"/>
    </row>
    <row r="98" spans="1:16" x14ac:dyDescent="0.2">
      <c r="A98" s="131"/>
      <c r="B98" s="178"/>
      <c r="C98" s="205"/>
      <c r="D98" s="139" t="s">
        <v>264</v>
      </c>
      <c r="E98" s="144">
        <v>50</v>
      </c>
      <c r="F98" s="145" t="str">
        <f>$C$91&amp;" + "&amp;E98</f>
        <v xml:space="preserve"> + 50</v>
      </c>
      <c r="G98" s="144" t="s">
        <v>254</v>
      </c>
      <c r="H98" s="144" t="s">
        <v>265</v>
      </c>
      <c r="I98" s="146">
        <v>4</v>
      </c>
      <c r="J98" s="164">
        <v>2532.1</v>
      </c>
      <c r="K98" s="157">
        <v>3.9</v>
      </c>
      <c r="L98" s="148">
        <v>640</v>
      </c>
      <c r="M98" s="148">
        <f t="shared" si="20"/>
        <v>164.10256410256412</v>
      </c>
      <c r="N98" s="150">
        <f t="shared" si="9"/>
        <v>0</v>
      </c>
      <c r="O98" s="148">
        <f t="shared" si="5"/>
        <v>164.10256410256412</v>
      </c>
      <c r="P98" s="131"/>
    </row>
    <row r="99" spans="1:16" x14ac:dyDescent="0.2">
      <c r="A99" s="131"/>
      <c r="B99" s="178"/>
      <c r="C99" s="204">
        <v>108</v>
      </c>
      <c r="D99" s="139" t="s">
        <v>264</v>
      </c>
      <c r="E99" s="144">
        <v>40</v>
      </c>
      <c r="F99" s="145" t="str">
        <f>$C$93&amp;" + "&amp;E99</f>
        <v xml:space="preserve"> + 40</v>
      </c>
      <c r="G99" s="144" t="s">
        <v>254</v>
      </c>
      <c r="H99" s="144" t="s">
        <v>265</v>
      </c>
      <c r="I99" s="146">
        <v>4</v>
      </c>
      <c r="J99" s="164">
        <v>2361.3000000000002</v>
      </c>
      <c r="K99" s="157">
        <v>4.2</v>
      </c>
      <c r="L99" s="148">
        <v>640</v>
      </c>
      <c r="M99" s="148">
        <f t="shared" si="20"/>
        <v>152.38095238095238</v>
      </c>
      <c r="N99" s="150">
        <f t="shared" si="9"/>
        <v>0</v>
      </c>
      <c r="O99" s="148">
        <f t="shared" si="5"/>
        <v>152.38095238095238</v>
      </c>
      <c r="P99" s="131"/>
    </row>
    <row r="100" spans="1:16" x14ac:dyDescent="0.2">
      <c r="A100" s="131"/>
      <c r="B100" s="178"/>
      <c r="C100" s="205"/>
      <c r="D100" s="139" t="s">
        <v>264</v>
      </c>
      <c r="E100" s="144">
        <v>50</v>
      </c>
      <c r="F100" s="145" t="str">
        <f>$C$93&amp;" + "&amp;E100</f>
        <v xml:space="preserve"> + 50</v>
      </c>
      <c r="G100" s="144" t="s">
        <v>254</v>
      </c>
      <c r="H100" s="144" t="s">
        <v>265</v>
      </c>
      <c r="I100" s="146">
        <v>4</v>
      </c>
      <c r="J100" s="164">
        <v>2612.5</v>
      </c>
      <c r="K100" s="157">
        <v>3.8</v>
      </c>
      <c r="L100" s="148">
        <v>640</v>
      </c>
      <c r="M100" s="148">
        <f t="shared" si="20"/>
        <v>168.42105263157896</v>
      </c>
      <c r="N100" s="150">
        <f t="shared" si="9"/>
        <v>0</v>
      </c>
      <c r="O100" s="148">
        <f t="shared" ref="O100:O106" si="22">M100*(1-N100)</f>
        <v>168.42105263157896</v>
      </c>
      <c r="P100" s="131"/>
    </row>
    <row r="101" spans="1:16" x14ac:dyDescent="0.2">
      <c r="A101" s="131"/>
      <c r="B101" s="178"/>
      <c r="C101" s="157">
        <v>114.3</v>
      </c>
      <c r="D101" s="139" t="s">
        <v>264</v>
      </c>
      <c r="E101" s="144">
        <v>50</v>
      </c>
      <c r="F101" s="145" t="str">
        <f t="shared" ref="F101:F106" si="23">C101&amp;" + "&amp;E101</f>
        <v>114,3 + 50</v>
      </c>
      <c r="G101" s="144" t="s">
        <v>254</v>
      </c>
      <c r="H101" s="144" t="s">
        <v>265</v>
      </c>
      <c r="I101" s="146">
        <v>4</v>
      </c>
      <c r="J101" s="164">
        <v>2691.6</v>
      </c>
      <c r="K101" s="157">
        <v>3.7</v>
      </c>
      <c r="L101" s="148">
        <v>640</v>
      </c>
      <c r="M101" s="148">
        <f t="shared" si="20"/>
        <v>172.97297297297297</v>
      </c>
      <c r="N101" s="150">
        <f t="shared" si="9"/>
        <v>0</v>
      </c>
      <c r="O101" s="148">
        <f t="shared" si="22"/>
        <v>172.97297297297297</v>
      </c>
      <c r="P101" s="131"/>
    </row>
    <row r="102" spans="1:16" x14ac:dyDescent="0.2">
      <c r="A102" s="131"/>
      <c r="B102" s="178"/>
      <c r="C102" s="157">
        <v>127</v>
      </c>
      <c r="D102" s="139" t="s">
        <v>264</v>
      </c>
      <c r="E102" s="144">
        <v>50</v>
      </c>
      <c r="F102" s="145" t="str">
        <f t="shared" si="23"/>
        <v>127 + 50</v>
      </c>
      <c r="G102" s="144" t="s">
        <v>254</v>
      </c>
      <c r="H102" s="144" t="s">
        <v>265</v>
      </c>
      <c r="I102" s="146">
        <v>4</v>
      </c>
      <c r="J102" s="164">
        <v>2851.1</v>
      </c>
      <c r="K102" s="157">
        <v>3.5</v>
      </c>
      <c r="L102" s="148">
        <v>640</v>
      </c>
      <c r="M102" s="148">
        <f t="shared" si="20"/>
        <v>182.85714285714286</v>
      </c>
      <c r="N102" s="150">
        <f t="shared" si="9"/>
        <v>0</v>
      </c>
      <c r="O102" s="148">
        <f t="shared" si="22"/>
        <v>182.85714285714286</v>
      </c>
      <c r="P102" s="131"/>
    </row>
    <row r="103" spans="1:16" x14ac:dyDescent="0.2">
      <c r="A103" s="131"/>
      <c r="B103" s="178"/>
      <c r="C103" s="157">
        <v>133</v>
      </c>
      <c r="D103" s="139" t="s">
        <v>264</v>
      </c>
      <c r="E103" s="144">
        <v>50</v>
      </c>
      <c r="F103" s="145" t="str">
        <f t="shared" si="23"/>
        <v>133 + 50</v>
      </c>
      <c r="G103" s="144" t="s">
        <v>254</v>
      </c>
      <c r="H103" s="144" t="s">
        <v>265</v>
      </c>
      <c r="I103" s="146">
        <v>4</v>
      </c>
      <c r="J103" s="164">
        <v>2926.5</v>
      </c>
      <c r="K103" s="157">
        <v>3.4</v>
      </c>
      <c r="L103" s="148">
        <v>640</v>
      </c>
      <c r="M103" s="148">
        <f t="shared" si="20"/>
        <v>188.23529411764707</v>
      </c>
      <c r="N103" s="150">
        <f t="shared" si="9"/>
        <v>0</v>
      </c>
      <c r="O103" s="148">
        <f t="shared" si="22"/>
        <v>188.23529411764707</v>
      </c>
      <c r="P103" s="131"/>
    </row>
    <row r="104" spans="1:16" x14ac:dyDescent="0.2">
      <c r="A104" s="131"/>
      <c r="B104" s="178"/>
      <c r="C104" s="157">
        <v>139.69999999999999</v>
      </c>
      <c r="D104" s="139" t="s">
        <v>264</v>
      </c>
      <c r="E104" s="144">
        <v>50</v>
      </c>
      <c r="F104" s="145" t="str">
        <f t="shared" si="23"/>
        <v>139,7 + 50</v>
      </c>
      <c r="G104" s="144" t="s">
        <v>254</v>
      </c>
      <c r="H104" s="144" t="s">
        <v>265</v>
      </c>
      <c r="I104" s="146">
        <v>4</v>
      </c>
      <c r="J104" s="164">
        <v>3010.6</v>
      </c>
      <c r="K104" s="157">
        <v>3.3</v>
      </c>
      <c r="L104" s="148">
        <v>640</v>
      </c>
      <c r="M104" s="148">
        <f t="shared" si="20"/>
        <v>193.93939393939394</v>
      </c>
      <c r="N104" s="150">
        <f t="shared" si="9"/>
        <v>0</v>
      </c>
      <c r="O104" s="148">
        <f t="shared" si="22"/>
        <v>193.93939393939394</v>
      </c>
      <c r="P104" s="131"/>
    </row>
    <row r="105" spans="1:16" x14ac:dyDescent="0.2">
      <c r="A105" s="131"/>
      <c r="B105" s="178"/>
      <c r="C105" s="157">
        <v>152.4</v>
      </c>
      <c r="D105" s="139" t="s">
        <v>264</v>
      </c>
      <c r="E105" s="144">
        <v>50</v>
      </c>
      <c r="F105" s="145" t="str">
        <f t="shared" si="23"/>
        <v>152,4 + 50</v>
      </c>
      <c r="G105" s="144" t="s">
        <v>254</v>
      </c>
      <c r="H105" s="144" t="s">
        <v>265</v>
      </c>
      <c r="I105" s="146">
        <v>4</v>
      </c>
      <c r="J105" s="164">
        <v>3170.1</v>
      </c>
      <c r="K105" s="157">
        <v>3.2</v>
      </c>
      <c r="L105" s="148">
        <v>640</v>
      </c>
      <c r="M105" s="148">
        <f t="shared" si="20"/>
        <v>200</v>
      </c>
      <c r="N105" s="150">
        <f t="shared" si="9"/>
        <v>0</v>
      </c>
      <c r="O105" s="148">
        <f t="shared" si="22"/>
        <v>200</v>
      </c>
      <c r="P105" s="131"/>
    </row>
    <row r="106" spans="1:16" x14ac:dyDescent="0.2">
      <c r="A106" s="131"/>
      <c r="B106" s="178"/>
      <c r="C106" s="157">
        <v>159</v>
      </c>
      <c r="D106" s="139" t="s">
        <v>264</v>
      </c>
      <c r="E106" s="144">
        <v>50</v>
      </c>
      <c r="F106" s="145" t="str">
        <f t="shared" si="23"/>
        <v>159 + 50</v>
      </c>
      <c r="G106" s="144" t="s">
        <v>254</v>
      </c>
      <c r="H106" s="144" t="s">
        <v>265</v>
      </c>
      <c r="I106" s="146">
        <v>4</v>
      </c>
      <c r="J106" s="164">
        <v>3253</v>
      </c>
      <c r="K106" s="157">
        <v>3.1</v>
      </c>
      <c r="L106" s="148">
        <v>640</v>
      </c>
      <c r="M106" s="148">
        <f t="shared" si="20"/>
        <v>206.45161290322579</v>
      </c>
      <c r="N106" s="150">
        <f t="shared" si="9"/>
        <v>0</v>
      </c>
      <c r="O106" s="148">
        <f t="shared" si="22"/>
        <v>206.45161290322579</v>
      </c>
      <c r="P106" s="131"/>
    </row>
  </sheetData>
  <sheetProtection password="8959" sheet="1" objects="1" scenarios="1"/>
  <mergeCells count="24">
    <mergeCell ref="I8:J8"/>
    <mergeCell ref="C89:C91"/>
    <mergeCell ref="C92:C93"/>
    <mergeCell ref="C94:C96"/>
    <mergeCell ref="C97:C98"/>
    <mergeCell ref="E11:E12"/>
    <mergeCell ref="B15:O15"/>
    <mergeCell ref="B26:O26"/>
    <mergeCell ref="B33:O33"/>
    <mergeCell ref="B45:O45"/>
    <mergeCell ref="C47:C52"/>
    <mergeCell ref="C53:C58"/>
    <mergeCell ref="C59:C63"/>
    <mergeCell ref="C64:C67"/>
    <mergeCell ref="G11:H11"/>
    <mergeCell ref="I11:I12"/>
    <mergeCell ref="J11:K11"/>
    <mergeCell ref="C99:C100"/>
    <mergeCell ref="C68:C71"/>
    <mergeCell ref="C72:C75"/>
    <mergeCell ref="C76:C79"/>
    <mergeCell ref="C80:C82"/>
    <mergeCell ref="C83:C85"/>
    <mergeCell ref="C86:C88"/>
  </mergeCells>
  <hyperlinks>
    <hyperlink ref="I8:J8" location="SYSTEMY!A1" display="MENU GŁÓWN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0" orientation="landscape" verticalDpi="0" r:id="rId1"/>
  <rowBreaks count="1" manualBreakCount="1">
    <brk id="44" min="1" max="1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Przycisk 2">
              <controlPr defaultSize="0" print="0" autoFill="0" autoPict="0" macro="[0]!PDF_1">
                <anchor moveWithCells="1" sizeWithCells="1">
                  <from>
                    <xdr:col>14</xdr:col>
                    <xdr:colOff>552450</xdr:colOff>
                    <xdr:row>5</xdr:row>
                    <xdr:rowOff>95250</xdr:rowOff>
                  </from>
                  <to>
                    <xdr:col>15</xdr:col>
                    <xdr:colOff>666750</xdr:colOff>
                    <xdr:row>8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2">
    <tabColor rgb="FF00B0F0"/>
  </sheetPr>
  <dimension ref="A1:P187"/>
  <sheetViews>
    <sheetView showGridLines="0" tabSelected="1" zoomScale="70" zoomScaleNormal="70" workbookViewId="0">
      <selection activeCell="G137" sqref="G137"/>
    </sheetView>
  </sheetViews>
  <sheetFormatPr defaultColWidth="0" defaultRowHeight="14.1" customHeight="1" x14ac:dyDescent="0.2"/>
  <cols>
    <col min="1" max="1" width="7.5703125" style="9" customWidth="1"/>
    <col min="2" max="2" width="11.42578125" style="9" customWidth="1"/>
    <col min="3" max="3" width="12.7109375" style="9" customWidth="1"/>
    <col min="4" max="4" width="10" style="9" customWidth="1"/>
    <col min="5" max="5" width="12.7109375" style="9" customWidth="1"/>
    <col min="6" max="7" width="10" style="9" customWidth="1"/>
    <col min="8" max="8" width="11.28515625" style="9" customWidth="1"/>
    <col min="9" max="9" width="11.42578125" style="9" customWidth="1"/>
    <col min="10" max="10" width="11.140625" style="9" customWidth="1"/>
    <col min="11" max="11" width="11.28515625" style="9" customWidth="1"/>
    <col min="12" max="12" width="18.28515625" style="9" customWidth="1"/>
    <col min="13" max="13" width="13.140625" style="9" customWidth="1"/>
    <col min="14" max="15" width="11.42578125" style="9" customWidth="1"/>
    <col min="16" max="16" width="9.140625" style="9" customWidth="1"/>
    <col min="17" max="16384" width="9.140625" style="9" hidden="1"/>
  </cols>
  <sheetData>
    <row r="1" spans="1:13" ht="14.1" customHeight="1" x14ac:dyDescent="0.25">
      <c r="A1" s="23"/>
      <c r="B1" s="2"/>
      <c r="C1" s="12"/>
      <c r="D1" s="12"/>
      <c r="E1" s="12"/>
      <c r="F1" s="12"/>
      <c r="G1" s="2"/>
      <c r="H1" s="2"/>
      <c r="I1" s="12"/>
      <c r="J1" s="3"/>
      <c r="K1" s="23"/>
    </row>
    <row r="2" spans="1:13" ht="14.1" customHeight="1" x14ac:dyDescent="0.25">
      <c r="A2" s="23"/>
      <c r="B2" s="2"/>
      <c r="C2" s="12"/>
      <c r="D2" s="12"/>
      <c r="E2" s="12"/>
      <c r="F2" s="12"/>
      <c r="G2" s="2"/>
      <c r="H2" s="2"/>
      <c r="I2" s="12"/>
      <c r="J2" s="3"/>
      <c r="K2" s="23"/>
    </row>
    <row r="3" spans="1:13" ht="14.1" customHeight="1" x14ac:dyDescent="0.25">
      <c r="A3" s="23"/>
      <c r="B3" s="2"/>
      <c r="C3" s="12"/>
      <c r="D3" s="12"/>
      <c r="E3" s="12"/>
      <c r="F3" s="12"/>
      <c r="G3" s="2"/>
      <c r="H3" s="2"/>
      <c r="I3" s="12"/>
      <c r="J3" s="3"/>
      <c r="K3" s="23"/>
    </row>
    <row r="4" spans="1:13" ht="14.1" customHeight="1" x14ac:dyDescent="0.25">
      <c r="A4" s="23"/>
      <c r="B4" s="2"/>
      <c r="C4" s="12"/>
      <c r="D4" s="12"/>
      <c r="E4" s="12"/>
      <c r="F4" s="12"/>
      <c r="G4" s="2"/>
      <c r="H4" s="2"/>
      <c r="I4" s="12"/>
      <c r="J4" s="3"/>
      <c r="K4" s="23"/>
    </row>
    <row r="5" spans="1:13" ht="14.1" customHeight="1" x14ac:dyDescent="0.25">
      <c r="A5" s="23"/>
      <c r="B5" s="2"/>
      <c r="C5" s="12"/>
      <c r="D5" s="12"/>
      <c r="E5" s="12"/>
      <c r="F5" s="12"/>
      <c r="G5" s="2"/>
      <c r="H5" s="2"/>
      <c r="I5" s="12"/>
      <c r="J5" s="3"/>
      <c r="K5" s="23"/>
    </row>
    <row r="6" spans="1:13" ht="13.5" customHeight="1" x14ac:dyDescent="0.25">
      <c r="A6" s="23"/>
      <c r="B6" s="2"/>
      <c r="C6" s="12"/>
      <c r="D6" s="12"/>
      <c r="E6" s="12"/>
      <c r="F6" s="12"/>
      <c r="G6" s="2"/>
      <c r="H6" s="2"/>
      <c r="I6" s="12"/>
      <c r="J6" s="3"/>
      <c r="K6" s="23"/>
    </row>
    <row r="7" spans="1:13" ht="18" customHeight="1" x14ac:dyDescent="0.25">
      <c r="A7" s="23"/>
      <c r="B7" s="2"/>
      <c r="C7" s="12"/>
      <c r="D7" s="12"/>
      <c r="E7" s="12"/>
      <c r="F7" s="12"/>
      <c r="G7" s="2"/>
      <c r="H7" s="2"/>
      <c r="I7" s="12"/>
      <c r="J7" s="3"/>
      <c r="K7" s="23"/>
    </row>
    <row r="8" spans="1:13" ht="18" customHeight="1" x14ac:dyDescent="0.2">
      <c r="A8" s="23"/>
      <c r="B8" s="239" t="s">
        <v>40</v>
      </c>
      <c r="C8" s="239"/>
      <c r="D8" s="239"/>
      <c r="E8" s="239"/>
      <c r="K8" s="23"/>
      <c r="L8" s="10" t="s">
        <v>5</v>
      </c>
      <c r="M8" s="10" t="s">
        <v>41</v>
      </c>
    </row>
    <row r="9" spans="1:13" ht="18" customHeight="1" x14ac:dyDescent="0.3">
      <c r="A9" s="23"/>
      <c r="B9" s="240" t="s">
        <v>72</v>
      </c>
      <c r="C9" s="240"/>
      <c r="D9" s="240"/>
      <c r="E9" s="240"/>
      <c r="I9" s="196" t="s">
        <v>80</v>
      </c>
      <c r="J9" s="196"/>
      <c r="K9" s="196"/>
      <c r="L9" s="90">
        <f>$O$45+$O$61</f>
        <v>0</v>
      </c>
      <c r="M9" s="81">
        <f>$O$44+$O$60</f>
        <v>0</v>
      </c>
    </row>
    <row r="10" spans="1:13" ht="18" customHeight="1" x14ac:dyDescent="0.25">
      <c r="A10" s="23"/>
      <c r="B10" s="241" t="s">
        <v>73</v>
      </c>
      <c r="C10" s="241"/>
      <c r="D10" s="241"/>
      <c r="E10" s="241"/>
      <c r="I10" s="243" t="s">
        <v>166</v>
      </c>
      <c r="J10" s="191"/>
      <c r="K10" s="191"/>
      <c r="L10" s="90">
        <f>SUM(N88+N118+N103)</f>
        <v>0</v>
      </c>
      <c r="M10" s="244">
        <f>SUM(N87+N102+N117)</f>
        <v>0</v>
      </c>
    </row>
    <row r="11" spans="1:13" ht="18" customHeight="1" x14ac:dyDescent="0.25">
      <c r="A11" s="23"/>
      <c r="B11" s="215" t="s">
        <v>74</v>
      </c>
      <c r="C11" s="215"/>
      <c r="D11" s="215"/>
      <c r="E11" s="215"/>
      <c r="I11" s="191"/>
      <c r="J11" s="191"/>
      <c r="K11" s="191"/>
      <c r="L11" s="90">
        <f>SUM(N89+N104+N119)</f>
        <v>0</v>
      </c>
      <c r="M11" s="244"/>
    </row>
    <row r="12" spans="1:13" ht="18" customHeight="1" x14ac:dyDescent="0.25">
      <c r="A12" s="23"/>
      <c r="B12" s="242" t="s">
        <v>75</v>
      </c>
      <c r="C12" s="242"/>
      <c r="D12" s="242"/>
      <c r="E12" s="242"/>
      <c r="I12" s="247" t="s">
        <v>168</v>
      </c>
      <c r="J12" s="196"/>
      <c r="K12" s="196"/>
      <c r="L12" s="90">
        <f>SUM(N147+L163)</f>
        <v>0</v>
      </c>
      <c r="M12" s="244">
        <f>N146+L162</f>
        <v>0</v>
      </c>
    </row>
    <row r="13" spans="1:13" ht="18" customHeight="1" x14ac:dyDescent="0.25">
      <c r="A13" s="23"/>
      <c r="B13" s="215" t="s">
        <v>181</v>
      </c>
      <c r="C13" s="215"/>
      <c r="D13" s="215"/>
      <c r="E13" s="215"/>
      <c r="F13" s="215"/>
      <c r="I13" s="196"/>
      <c r="J13" s="196"/>
      <c r="K13" s="196"/>
      <c r="L13" s="90">
        <f>N148</f>
        <v>0</v>
      </c>
      <c r="M13" s="244"/>
    </row>
    <row r="14" spans="1:13" ht="18" customHeight="1" x14ac:dyDescent="0.25">
      <c r="A14" s="23"/>
      <c r="B14" s="215" t="s">
        <v>182</v>
      </c>
      <c r="C14" s="215"/>
      <c r="D14" s="215"/>
      <c r="E14" s="215"/>
      <c r="F14" s="215"/>
      <c r="I14" s="196" t="s">
        <v>117</v>
      </c>
      <c r="J14" s="196"/>
      <c r="K14" s="196"/>
      <c r="L14" s="107">
        <f>N185</f>
        <v>0</v>
      </c>
      <c r="M14" s="11">
        <f>N184</f>
        <v>0</v>
      </c>
    </row>
    <row r="15" spans="1:13" ht="18" customHeight="1" x14ac:dyDescent="0.25">
      <c r="A15" s="23"/>
      <c r="B15" s="215" t="s">
        <v>183</v>
      </c>
      <c r="C15" s="215"/>
      <c r="D15" s="215"/>
      <c r="E15" s="215"/>
      <c r="F15" s="215"/>
      <c r="L15" s="84" t="s">
        <v>12</v>
      </c>
      <c r="M15" s="85">
        <f>SUM(M9:M12)</f>
        <v>0</v>
      </c>
    </row>
    <row r="16" spans="1:13" ht="18" customHeight="1" x14ac:dyDescent="0.3">
      <c r="A16" s="23"/>
      <c r="B16" s="242" t="s">
        <v>76</v>
      </c>
      <c r="C16" s="242"/>
      <c r="D16" s="242"/>
      <c r="E16" s="242"/>
    </row>
    <row r="17" spans="1:16" ht="18" customHeight="1" x14ac:dyDescent="0.3">
      <c r="A17" s="23"/>
      <c r="B17" s="215" t="s">
        <v>78</v>
      </c>
      <c r="C17" s="215"/>
      <c r="D17" s="215"/>
      <c r="E17" s="215"/>
    </row>
    <row r="18" spans="1:16" ht="18" customHeight="1" x14ac:dyDescent="0.3">
      <c r="A18" s="23"/>
      <c r="B18" s="215" t="s">
        <v>79</v>
      </c>
      <c r="C18" s="215"/>
      <c r="D18" s="215"/>
      <c r="E18" s="215"/>
    </row>
    <row r="19" spans="1:16" ht="18" customHeight="1" x14ac:dyDescent="0.25">
      <c r="A19" s="23"/>
      <c r="B19" s="242" t="s">
        <v>117</v>
      </c>
      <c r="C19" s="242"/>
      <c r="D19" s="242"/>
      <c r="E19" s="242"/>
      <c r="G19" s="245" t="s">
        <v>229</v>
      </c>
      <c r="H19" s="245"/>
    </row>
    <row r="20" spans="1:16" ht="18" customHeight="1" x14ac:dyDescent="0.25">
      <c r="A20" s="23"/>
      <c r="B20" s="24"/>
      <c r="C20" s="24"/>
      <c r="D20" s="24"/>
      <c r="E20" s="24"/>
    </row>
    <row r="21" spans="1:16" s="57" customFormat="1" ht="30" customHeight="1" x14ac:dyDescent="0.35">
      <c r="A21" s="232" t="s">
        <v>47</v>
      </c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</row>
    <row r="22" spans="1:16" ht="14.1" customHeight="1" x14ac:dyDescent="0.25">
      <c r="A22" s="23"/>
      <c r="B22" s="23"/>
      <c r="C22" s="2"/>
      <c r="D22" s="12"/>
    </row>
    <row r="23" spans="1:16" ht="14.1" customHeight="1" x14ac:dyDescent="0.2">
      <c r="A23" s="12"/>
      <c r="J23" s="200" t="s">
        <v>45</v>
      </c>
      <c r="K23" s="200"/>
      <c r="L23" s="200"/>
      <c r="M23" s="200"/>
    </row>
    <row r="24" spans="1:16" ht="14.1" customHeight="1" x14ac:dyDescent="0.2">
      <c r="A24" s="12"/>
      <c r="B24" s="227" t="s">
        <v>94</v>
      </c>
      <c r="C24" s="228"/>
      <c r="D24" s="229"/>
      <c r="J24" s="234" t="s">
        <v>46</v>
      </c>
      <c r="K24" s="234"/>
      <c r="L24" s="234"/>
      <c r="M24" s="234"/>
    </row>
    <row r="25" spans="1:16" ht="14.1" customHeight="1" x14ac:dyDescent="0.2">
      <c r="A25" s="12"/>
      <c r="B25" s="55" t="s">
        <v>95</v>
      </c>
      <c r="C25" s="55"/>
      <c r="D25" s="112">
        <v>1</v>
      </c>
      <c r="J25" s="234" t="s">
        <v>52</v>
      </c>
      <c r="K25" s="234"/>
      <c r="L25" s="234"/>
      <c r="M25" s="234"/>
    </row>
    <row r="26" spans="1:16" ht="14.1" customHeight="1" x14ac:dyDescent="0.2">
      <c r="A26" s="12"/>
      <c r="B26" s="55" t="s">
        <v>96</v>
      </c>
      <c r="C26" s="55"/>
      <c r="D26" s="112">
        <v>1</v>
      </c>
      <c r="J26" s="234" t="s">
        <v>10</v>
      </c>
      <c r="K26" s="234"/>
      <c r="L26" s="234"/>
      <c r="M26" s="234"/>
    </row>
    <row r="27" spans="1:16" ht="14.1" customHeight="1" x14ac:dyDescent="0.2">
      <c r="A27" s="12"/>
      <c r="B27" s="218" t="s">
        <v>97</v>
      </c>
      <c r="C27" s="218"/>
      <c r="D27" s="112">
        <v>1</v>
      </c>
      <c r="J27" s="234" t="s">
        <v>11</v>
      </c>
      <c r="K27" s="234"/>
      <c r="L27" s="234"/>
      <c r="M27" s="234"/>
    </row>
    <row r="28" spans="1:16" ht="14.1" customHeight="1" x14ac:dyDescent="0.25">
      <c r="A28" s="12"/>
      <c r="B28" s="218" t="s">
        <v>92</v>
      </c>
      <c r="C28" s="218"/>
      <c r="D28" s="112">
        <v>1</v>
      </c>
      <c r="J28" s="13"/>
      <c r="K28" s="13"/>
      <c r="L28" s="13"/>
      <c r="M28" s="13"/>
    </row>
    <row r="29" spans="1:16" ht="14.1" customHeight="1" x14ac:dyDescent="0.2">
      <c r="A29" s="12"/>
      <c r="B29" s="219" t="s">
        <v>93</v>
      </c>
      <c r="C29" s="220"/>
      <c r="D29" s="25">
        <f>(((PI()*(D25/2)^2)-(PI()*(D26/2)^2))*D27)/1000/D28</f>
        <v>0</v>
      </c>
      <c r="J29" s="13"/>
      <c r="K29" s="13"/>
      <c r="L29" s="13"/>
      <c r="M29" s="13"/>
    </row>
    <row r="31" spans="1:16" s="8" customFormat="1" ht="20.100000000000001" customHeight="1" x14ac:dyDescent="0.2">
      <c r="B31" s="194" t="s">
        <v>193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</row>
    <row r="32" spans="1:16" ht="27.75" customHeight="1" x14ac:dyDescent="0.2">
      <c r="B32" s="189" t="s">
        <v>5</v>
      </c>
      <c r="C32" s="189" t="s">
        <v>0</v>
      </c>
      <c r="D32" s="222" t="s">
        <v>87</v>
      </c>
      <c r="E32" s="236"/>
      <c r="F32" s="236"/>
      <c r="G32" s="237"/>
      <c r="H32" s="222" t="s">
        <v>192</v>
      </c>
      <c r="I32" s="223"/>
      <c r="J32" s="223"/>
      <c r="K32" s="224"/>
      <c r="L32" s="230" t="s">
        <v>211</v>
      </c>
      <c r="M32" s="230" t="s">
        <v>3</v>
      </c>
      <c r="N32" s="230" t="s">
        <v>53</v>
      </c>
      <c r="O32" s="230" t="s">
        <v>12</v>
      </c>
    </row>
    <row r="33" spans="2:15" ht="14.1" customHeight="1" x14ac:dyDescent="0.2">
      <c r="B33" s="230"/>
      <c r="C33" s="189"/>
      <c r="D33" s="7" t="s">
        <v>1</v>
      </c>
      <c r="E33" s="7" t="s">
        <v>2</v>
      </c>
      <c r="F33" s="7" t="s">
        <v>3</v>
      </c>
      <c r="G33" s="7" t="s">
        <v>4</v>
      </c>
      <c r="H33" s="7" t="s">
        <v>50</v>
      </c>
      <c r="I33" s="7" t="s">
        <v>51</v>
      </c>
      <c r="J33" s="7" t="s">
        <v>3</v>
      </c>
      <c r="K33" s="7" t="s">
        <v>4</v>
      </c>
      <c r="L33" s="231"/>
      <c r="M33" s="231"/>
      <c r="N33" s="231"/>
      <c r="O33" s="231"/>
    </row>
    <row r="34" spans="2:15" ht="14.1" customHeight="1" x14ac:dyDescent="0.25">
      <c r="B34" s="109">
        <v>0</v>
      </c>
      <c r="C34" s="14">
        <v>25</v>
      </c>
      <c r="D34" s="15">
        <v>0.2</v>
      </c>
      <c r="E34" s="11">
        <v>31.9</v>
      </c>
      <c r="F34" s="110">
        <v>0</v>
      </c>
      <c r="G34" s="11">
        <f>(E34-(E34*F34))*D34</f>
        <v>6.38</v>
      </c>
      <c r="H34" s="15">
        <v>0.02</v>
      </c>
      <c r="I34" s="11">
        <v>7.43</v>
      </c>
      <c r="J34" s="113">
        <v>0</v>
      </c>
      <c r="K34" s="11">
        <f t="shared" ref="K34:K43" si="0">(I34-(I34*J34))*D34</f>
        <v>1.486</v>
      </c>
      <c r="L34" s="11">
        <f>13.94*2</f>
        <v>27.88</v>
      </c>
      <c r="M34" s="113">
        <v>0</v>
      </c>
      <c r="N34" s="11">
        <f t="shared" ref="N34:N43" si="1">(G34+K34+(L34-(L34*M34)))</f>
        <v>35.745999999999995</v>
      </c>
      <c r="O34" s="11">
        <f>N34*B34</f>
        <v>0</v>
      </c>
    </row>
    <row r="35" spans="2:15" ht="14.1" customHeight="1" x14ac:dyDescent="0.25">
      <c r="B35" s="109">
        <v>0</v>
      </c>
      <c r="C35" s="14">
        <v>32</v>
      </c>
      <c r="D35" s="15">
        <v>0.2</v>
      </c>
      <c r="E35" s="11">
        <v>31.9</v>
      </c>
      <c r="F35" s="16">
        <f>$F$34</f>
        <v>0</v>
      </c>
      <c r="G35" s="11">
        <f t="shared" ref="G35:G43" si="2">(E35-(E35*F35))*D35</f>
        <v>6.38</v>
      </c>
      <c r="H35" s="15">
        <v>0.02</v>
      </c>
      <c r="I35" s="11">
        <v>7.43</v>
      </c>
      <c r="J35" s="17">
        <f>$J$34</f>
        <v>0</v>
      </c>
      <c r="K35" s="11">
        <f t="shared" si="0"/>
        <v>1.486</v>
      </c>
      <c r="L35" s="11">
        <f>14.78*2</f>
        <v>29.56</v>
      </c>
      <c r="M35" s="18">
        <f>$M$34</f>
        <v>0</v>
      </c>
      <c r="N35" s="11">
        <f t="shared" si="1"/>
        <v>37.426000000000002</v>
      </c>
      <c r="O35" s="11">
        <f t="shared" ref="O35:O43" si="3">N35*B35</f>
        <v>0</v>
      </c>
    </row>
    <row r="36" spans="2:15" ht="14.1" customHeight="1" x14ac:dyDescent="0.25">
      <c r="B36" s="109">
        <v>0</v>
      </c>
      <c r="C36" s="14">
        <v>40</v>
      </c>
      <c r="D36" s="15">
        <v>0.2</v>
      </c>
      <c r="E36" s="11">
        <v>31.9</v>
      </c>
      <c r="F36" s="16">
        <f t="shared" ref="F36:F43" si="4">$F$34</f>
        <v>0</v>
      </c>
      <c r="G36" s="11">
        <f t="shared" si="2"/>
        <v>6.38</v>
      </c>
      <c r="H36" s="15">
        <v>0.04</v>
      </c>
      <c r="I36" s="11">
        <v>7.43</v>
      </c>
      <c r="J36" s="17">
        <f t="shared" ref="J36:J43" si="5">$J$34</f>
        <v>0</v>
      </c>
      <c r="K36" s="11">
        <f t="shared" si="0"/>
        <v>1.486</v>
      </c>
      <c r="L36" s="11">
        <f>17.14*2</f>
        <v>34.28</v>
      </c>
      <c r="M36" s="18">
        <f t="shared" ref="M36:M43" si="6">$M$34</f>
        <v>0</v>
      </c>
      <c r="N36" s="11">
        <f t="shared" si="1"/>
        <v>42.146000000000001</v>
      </c>
      <c r="O36" s="11">
        <f t="shared" si="3"/>
        <v>0</v>
      </c>
    </row>
    <row r="37" spans="2:15" ht="14.1" customHeight="1" x14ac:dyDescent="0.2">
      <c r="B37" s="109">
        <v>0</v>
      </c>
      <c r="C37" s="14">
        <v>50</v>
      </c>
      <c r="D37" s="15">
        <v>0.2</v>
      </c>
      <c r="E37" s="11">
        <v>31.9</v>
      </c>
      <c r="F37" s="16">
        <f t="shared" si="4"/>
        <v>0</v>
      </c>
      <c r="G37" s="11">
        <f t="shared" si="2"/>
        <v>6.38</v>
      </c>
      <c r="H37" s="15">
        <v>0.04</v>
      </c>
      <c r="I37" s="11">
        <v>7.43</v>
      </c>
      <c r="J37" s="17">
        <f t="shared" si="5"/>
        <v>0</v>
      </c>
      <c r="K37" s="11">
        <f t="shared" si="0"/>
        <v>1.486</v>
      </c>
      <c r="L37" s="11">
        <f>19.18*2</f>
        <v>38.36</v>
      </c>
      <c r="M37" s="18">
        <f t="shared" si="6"/>
        <v>0</v>
      </c>
      <c r="N37" s="11">
        <f t="shared" si="1"/>
        <v>46.225999999999999</v>
      </c>
      <c r="O37" s="11">
        <f t="shared" si="3"/>
        <v>0</v>
      </c>
    </row>
    <row r="38" spans="2:15" ht="14.1" customHeight="1" x14ac:dyDescent="0.2">
      <c r="B38" s="109">
        <v>0</v>
      </c>
      <c r="C38" s="14">
        <v>63</v>
      </c>
      <c r="D38" s="15">
        <v>0.4</v>
      </c>
      <c r="E38" s="11">
        <v>31.9</v>
      </c>
      <c r="F38" s="16">
        <f t="shared" si="4"/>
        <v>0</v>
      </c>
      <c r="G38" s="11">
        <f t="shared" si="2"/>
        <v>12.76</v>
      </c>
      <c r="H38" s="15">
        <v>0.04</v>
      </c>
      <c r="I38" s="11">
        <v>7.43</v>
      </c>
      <c r="J38" s="17">
        <f t="shared" si="5"/>
        <v>0</v>
      </c>
      <c r="K38" s="11">
        <f t="shared" si="0"/>
        <v>2.972</v>
      </c>
      <c r="L38" s="11">
        <f>19.52*2</f>
        <v>39.04</v>
      </c>
      <c r="M38" s="18">
        <f t="shared" si="6"/>
        <v>0</v>
      </c>
      <c r="N38" s="11">
        <f t="shared" si="1"/>
        <v>54.771999999999998</v>
      </c>
      <c r="O38" s="11">
        <f t="shared" si="3"/>
        <v>0</v>
      </c>
    </row>
    <row r="39" spans="2:15" ht="14.1" customHeight="1" x14ac:dyDescent="0.2">
      <c r="B39" s="109">
        <v>0</v>
      </c>
      <c r="C39" s="14">
        <v>80</v>
      </c>
      <c r="D39" s="15">
        <v>0.4</v>
      </c>
      <c r="E39" s="11">
        <v>31.9</v>
      </c>
      <c r="F39" s="16">
        <f t="shared" si="4"/>
        <v>0</v>
      </c>
      <c r="G39" s="11">
        <f t="shared" si="2"/>
        <v>12.76</v>
      </c>
      <c r="H39" s="15">
        <v>0.06</v>
      </c>
      <c r="I39" s="11">
        <v>7.43</v>
      </c>
      <c r="J39" s="17">
        <f t="shared" si="5"/>
        <v>0</v>
      </c>
      <c r="K39" s="11">
        <f t="shared" si="0"/>
        <v>2.972</v>
      </c>
      <c r="L39" s="11">
        <f>22.14*2</f>
        <v>44.28</v>
      </c>
      <c r="M39" s="18">
        <f t="shared" si="6"/>
        <v>0</v>
      </c>
      <c r="N39" s="11">
        <f t="shared" si="1"/>
        <v>60.012</v>
      </c>
      <c r="O39" s="11">
        <f t="shared" si="3"/>
        <v>0</v>
      </c>
    </row>
    <row r="40" spans="2:15" ht="14.1" customHeight="1" x14ac:dyDescent="0.2">
      <c r="B40" s="109">
        <v>0</v>
      </c>
      <c r="C40" s="14">
        <v>110</v>
      </c>
      <c r="D40" s="15">
        <v>0.4</v>
      </c>
      <c r="E40" s="11">
        <v>31.9</v>
      </c>
      <c r="F40" s="16">
        <f t="shared" si="4"/>
        <v>0</v>
      </c>
      <c r="G40" s="11">
        <f t="shared" si="2"/>
        <v>12.76</v>
      </c>
      <c r="H40" s="15">
        <v>0.08</v>
      </c>
      <c r="I40" s="11">
        <v>7.43</v>
      </c>
      <c r="J40" s="17">
        <f t="shared" si="5"/>
        <v>0</v>
      </c>
      <c r="K40" s="11">
        <f t="shared" si="0"/>
        <v>2.972</v>
      </c>
      <c r="L40" s="11">
        <f>33.31*2</f>
        <v>66.62</v>
      </c>
      <c r="M40" s="18">
        <f t="shared" si="6"/>
        <v>0</v>
      </c>
      <c r="N40" s="11">
        <f t="shared" si="1"/>
        <v>82.352000000000004</v>
      </c>
      <c r="O40" s="11">
        <f t="shared" si="3"/>
        <v>0</v>
      </c>
    </row>
    <row r="41" spans="2:15" ht="14.1" customHeight="1" x14ac:dyDescent="0.2">
      <c r="B41" s="109">
        <v>0</v>
      </c>
      <c r="C41" s="14">
        <v>125</v>
      </c>
      <c r="D41" s="15">
        <v>0.6</v>
      </c>
      <c r="E41" s="11">
        <v>31.9</v>
      </c>
      <c r="F41" s="16">
        <f t="shared" si="4"/>
        <v>0</v>
      </c>
      <c r="G41" s="11">
        <f t="shared" si="2"/>
        <v>19.139999999999997</v>
      </c>
      <c r="H41" s="15">
        <v>0.08</v>
      </c>
      <c r="I41" s="11">
        <v>7.43</v>
      </c>
      <c r="J41" s="17">
        <f t="shared" si="5"/>
        <v>0</v>
      </c>
      <c r="K41" s="11">
        <f t="shared" si="0"/>
        <v>4.4579999999999993</v>
      </c>
      <c r="L41" s="11">
        <f>43.02*2</f>
        <v>86.04</v>
      </c>
      <c r="M41" s="18">
        <f t="shared" si="6"/>
        <v>0</v>
      </c>
      <c r="N41" s="11">
        <f t="shared" si="1"/>
        <v>109.63800000000001</v>
      </c>
      <c r="O41" s="11">
        <f t="shared" si="3"/>
        <v>0</v>
      </c>
    </row>
    <row r="42" spans="2:15" ht="14.1" customHeight="1" x14ac:dyDescent="0.2">
      <c r="B42" s="109">
        <v>0</v>
      </c>
      <c r="C42" s="14">
        <v>160</v>
      </c>
      <c r="D42" s="15">
        <v>0.6</v>
      </c>
      <c r="E42" s="11">
        <v>31.9</v>
      </c>
      <c r="F42" s="16">
        <f t="shared" si="4"/>
        <v>0</v>
      </c>
      <c r="G42" s="11">
        <f t="shared" si="2"/>
        <v>19.139999999999997</v>
      </c>
      <c r="H42" s="15">
        <v>0.12</v>
      </c>
      <c r="I42" s="11">
        <v>7.43</v>
      </c>
      <c r="J42" s="17">
        <f t="shared" si="5"/>
        <v>0</v>
      </c>
      <c r="K42" s="11">
        <f t="shared" si="0"/>
        <v>4.4579999999999993</v>
      </c>
      <c r="L42" s="11">
        <f>56.2*2</f>
        <v>112.4</v>
      </c>
      <c r="M42" s="18">
        <f t="shared" si="6"/>
        <v>0</v>
      </c>
      <c r="N42" s="11">
        <f t="shared" si="1"/>
        <v>135.99799999999999</v>
      </c>
      <c r="O42" s="11">
        <f t="shared" si="3"/>
        <v>0</v>
      </c>
    </row>
    <row r="43" spans="2:15" ht="14.1" customHeight="1" x14ac:dyDescent="0.2">
      <c r="B43" s="109">
        <v>0</v>
      </c>
      <c r="C43" s="14">
        <v>200</v>
      </c>
      <c r="D43" s="15">
        <v>0.8</v>
      </c>
      <c r="E43" s="11">
        <v>31.9</v>
      </c>
      <c r="F43" s="16">
        <f t="shared" si="4"/>
        <v>0</v>
      </c>
      <c r="G43" s="11">
        <f t="shared" si="2"/>
        <v>25.52</v>
      </c>
      <c r="H43" s="15">
        <v>0.14000000000000001</v>
      </c>
      <c r="I43" s="11">
        <v>7.43</v>
      </c>
      <c r="J43" s="17">
        <f t="shared" si="5"/>
        <v>0</v>
      </c>
      <c r="K43" s="11">
        <f t="shared" si="0"/>
        <v>5.944</v>
      </c>
      <c r="L43" s="11">
        <f>64.91*2</f>
        <v>129.82</v>
      </c>
      <c r="M43" s="18">
        <f t="shared" si="6"/>
        <v>0</v>
      </c>
      <c r="N43" s="11">
        <f t="shared" si="1"/>
        <v>161.28399999999999</v>
      </c>
      <c r="O43" s="11">
        <f t="shared" si="3"/>
        <v>0</v>
      </c>
    </row>
    <row r="44" spans="2:15" ht="14.1" customHeight="1" x14ac:dyDescent="0.2">
      <c r="M44" s="225" t="s">
        <v>12</v>
      </c>
      <c r="N44" s="226"/>
      <c r="O44" s="4">
        <f>SUM($O$34:$O$43)</f>
        <v>0</v>
      </c>
    </row>
    <row r="45" spans="2:15" ht="14.1" customHeight="1" x14ac:dyDescent="0.2">
      <c r="M45" s="225" t="s">
        <v>161</v>
      </c>
      <c r="N45" s="226"/>
      <c r="O45" s="91">
        <f>SUMPRODUCT(B34:B43,D34:D43)</f>
        <v>0</v>
      </c>
    </row>
    <row r="47" spans="2:15" s="8" customFormat="1" ht="20.100000000000001" customHeight="1" x14ac:dyDescent="0.2">
      <c r="B47" s="194" t="s">
        <v>194</v>
      </c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</row>
    <row r="48" spans="2:15" ht="25.5" customHeight="1" x14ac:dyDescent="0.2">
      <c r="B48" s="189" t="s">
        <v>5</v>
      </c>
      <c r="C48" s="189" t="s">
        <v>0</v>
      </c>
      <c r="D48" s="189" t="s">
        <v>87</v>
      </c>
      <c r="E48" s="221"/>
      <c r="F48" s="221"/>
      <c r="G48" s="221"/>
      <c r="H48" s="189" t="s">
        <v>192</v>
      </c>
      <c r="I48" s="189"/>
      <c r="J48" s="189"/>
      <c r="K48" s="189"/>
      <c r="L48" s="230" t="s">
        <v>211</v>
      </c>
      <c r="M48" s="189" t="s">
        <v>3</v>
      </c>
      <c r="N48" s="189" t="s">
        <v>53</v>
      </c>
      <c r="O48" s="189" t="s">
        <v>12</v>
      </c>
    </row>
    <row r="49" spans="2:15" ht="14.1" customHeight="1" x14ac:dyDescent="0.2">
      <c r="B49" s="189"/>
      <c r="C49" s="189"/>
      <c r="D49" s="80" t="s">
        <v>1</v>
      </c>
      <c r="E49" s="80" t="s">
        <v>2</v>
      </c>
      <c r="F49" s="80" t="s">
        <v>3</v>
      </c>
      <c r="G49" s="80" t="s">
        <v>4</v>
      </c>
      <c r="H49" s="80" t="s">
        <v>50</v>
      </c>
      <c r="I49" s="80" t="s">
        <v>51</v>
      </c>
      <c r="J49" s="80" t="s">
        <v>3</v>
      </c>
      <c r="K49" s="80" t="s">
        <v>4</v>
      </c>
      <c r="L49" s="231"/>
      <c r="M49" s="189"/>
      <c r="N49" s="189"/>
      <c r="O49" s="189"/>
    </row>
    <row r="50" spans="2:15" ht="14.1" customHeight="1" x14ac:dyDescent="0.2">
      <c r="B50" s="115">
        <v>0</v>
      </c>
      <c r="C50" s="15">
        <v>25</v>
      </c>
      <c r="D50" s="67">
        <v>0.6</v>
      </c>
      <c r="E50" s="19">
        <v>31.9</v>
      </c>
      <c r="F50" s="114">
        <v>0</v>
      </c>
      <c r="G50" s="11">
        <f>(E50-(E50*F50))*D50</f>
        <v>19.139999999999997</v>
      </c>
      <c r="H50" s="29">
        <v>0.1</v>
      </c>
      <c r="I50" s="11">
        <v>7.43</v>
      </c>
      <c r="J50" s="114">
        <v>0</v>
      </c>
      <c r="K50" s="11">
        <f t="shared" ref="K50:K59" si="7">(I50-(I50*J50))*H50</f>
        <v>0.74299999999999999</v>
      </c>
      <c r="L50" s="11">
        <v>27.88</v>
      </c>
      <c r="M50" s="114">
        <v>0</v>
      </c>
      <c r="N50" s="11">
        <f t="shared" ref="N50:N59" si="8">(G50+K50+(L50-(L50*M50)))</f>
        <v>47.762999999999991</v>
      </c>
      <c r="O50" s="11">
        <f>N50*B50</f>
        <v>0</v>
      </c>
    </row>
    <row r="51" spans="2:15" ht="14.1" customHeight="1" x14ac:dyDescent="0.2">
      <c r="B51" s="115">
        <v>0</v>
      </c>
      <c r="C51" s="15">
        <v>32</v>
      </c>
      <c r="D51" s="67">
        <v>0.6</v>
      </c>
      <c r="E51" s="19">
        <v>31.9</v>
      </c>
      <c r="F51" s="17">
        <f>$F$50</f>
        <v>0</v>
      </c>
      <c r="G51" s="11">
        <f t="shared" ref="G51:G59" si="9">(E51-(E51*F51))*D51</f>
        <v>19.139999999999997</v>
      </c>
      <c r="H51" s="29">
        <v>0.12</v>
      </c>
      <c r="I51" s="11">
        <v>7.43</v>
      </c>
      <c r="J51" s="17">
        <f>$J$50</f>
        <v>0</v>
      </c>
      <c r="K51" s="11">
        <f t="shared" si="7"/>
        <v>0.89159999999999995</v>
      </c>
      <c r="L51" s="11">
        <v>29.56</v>
      </c>
      <c r="M51" s="18">
        <f>$M$50</f>
        <v>0</v>
      </c>
      <c r="N51" s="11">
        <f t="shared" si="8"/>
        <v>49.5916</v>
      </c>
      <c r="O51" s="11">
        <f t="shared" ref="O51:O59" si="10">N51*B51</f>
        <v>0</v>
      </c>
    </row>
    <row r="52" spans="2:15" ht="14.1" customHeight="1" x14ac:dyDescent="0.2">
      <c r="B52" s="115">
        <v>0</v>
      </c>
      <c r="C52" s="15">
        <v>40</v>
      </c>
      <c r="D52" s="67">
        <v>0.8</v>
      </c>
      <c r="E52" s="19">
        <v>31.9</v>
      </c>
      <c r="F52" s="17">
        <f t="shared" ref="F52:F59" si="11">$F$50</f>
        <v>0</v>
      </c>
      <c r="G52" s="11">
        <f t="shared" si="9"/>
        <v>25.52</v>
      </c>
      <c r="H52" s="29">
        <v>0.14000000000000001</v>
      </c>
      <c r="I52" s="11">
        <v>7.43</v>
      </c>
      <c r="J52" s="17">
        <f t="shared" ref="J52:J59" si="12">$J$50</f>
        <v>0</v>
      </c>
      <c r="K52" s="11">
        <f t="shared" si="7"/>
        <v>1.0402</v>
      </c>
      <c r="L52" s="11">
        <v>34.28</v>
      </c>
      <c r="M52" s="18">
        <f t="shared" ref="M52:M58" si="13">$M$50</f>
        <v>0</v>
      </c>
      <c r="N52" s="11">
        <f t="shared" si="8"/>
        <v>60.840199999999996</v>
      </c>
      <c r="O52" s="11">
        <f t="shared" si="10"/>
        <v>0</v>
      </c>
    </row>
    <row r="53" spans="2:15" ht="14.1" customHeight="1" x14ac:dyDescent="0.2">
      <c r="B53" s="115">
        <v>0</v>
      </c>
      <c r="C53" s="15">
        <v>50</v>
      </c>
      <c r="D53" s="67">
        <v>1</v>
      </c>
      <c r="E53" s="19">
        <v>31.9</v>
      </c>
      <c r="F53" s="17">
        <f t="shared" si="11"/>
        <v>0</v>
      </c>
      <c r="G53" s="11">
        <f t="shared" si="9"/>
        <v>31.9</v>
      </c>
      <c r="H53" s="29">
        <v>0.16</v>
      </c>
      <c r="I53" s="11">
        <v>7.43</v>
      </c>
      <c r="J53" s="17">
        <f t="shared" si="12"/>
        <v>0</v>
      </c>
      <c r="K53" s="11">
        <f t="shared" si="7"/>
        <v>1.1888000000000001</v>
      </c>
      <c r="L53" s="11">
        <v>38.36</v>
      </c>
      <c r="M53" s="18">
        <f t="shared" si="13"/>
        <v>0</v>
      </c>
      <c r="N53" s="11">
        <f t="shared" si="8"/>
        <v>71.448800000000006</v>
      </c>
      <c r="O53" s="11">
        <f t="shared" si="10"/>
        <v>0</v>
      </c>
    </row>
    <row r="54" spans="2:15" ht="14.1" customHeight="1" x14ac:dyDescent="0.2">
      <c r="B54" s="115">
        <v>0</v>
      </c>
      <c r="C54" s="15">
        <v>63</v>
      </c>
      <c r="D54" s="67">
        <v>1</v>
      </c>
      <c r="E54" s="19">
        <v>31.9</v>
      </c>
      <c r="F54" s="17">
        <f t="shared" si="11"/>
        <v>0</v>
      </c>
      <c r="G54" s="11">
        <f t="shared" si="9"/>
        <v>31.9</v>
      </c>
      <c r="H54" s="29">
        <v>0.18</v>
      </c>
      <c r="I54" s="11">
        <v>7.43</v>
      </c>
      <c r="J54" s="17">
        <f t="shared" si="12"/>
        <v>0</v>
      </c>
      <c r="K54" s="11">
        <f t="shared" si="7"/>
        <v>1.3373999999999999</v>
      </c>
      <c r="L54" s="11">
        <v>39.04</v>
      </c>
      <c r="M54" s="18">
        <f t="shared" si="13"/>
        <v>0</v>
      </c>
      <c r="N54" s="11">
        <f t="shared" si="8"/>
        <v>72.2774</v>
      </c>
      <c r="O54" s="11">
        <f t="shared" si="10"/>
        <v>0</v>
      </c>
    </row>
    <row r="55" spans="2:15" ht="14.1" customHeight="1" x14ac:dyDescent="0.2">
      <c r="B55" s="115">
        <v>0</v>
      </c>
      <c r="C55" s="15">
        <v>80</v>
      </c>
      <c r="D55" s="67">
        <v>1.2</v>
      </c>
      <c r="E55" s="19">
        <v>31.9</v>
      </c>
      <c r="F55" s="17">
        <f t="shared" si="11"/>
        <v>0</v>
      </c>
      <c r="G55" s="11">
        <f t="shared" si="9"/>
        <v>38.279999999999994</v>
      </c>
      <c r="H55" s="29">
        <v>0.2</v>
      </c>
      <c r="I55" s="11">
        <v>7.43</v>
      </c>
      <c r="J55" s="17">
        <f t="shared" si="12"/>
        <v>0</v>
      </c>
      <c r="K55" s="11">
        <f t="shared" si="7"/>
        <v>1.486</v>
      </c>
      <c r="L55" s="11">
        <v>44.28</v>
      </c>
      <c r="M55" s="18">
        <f t="shared" si="13"/>
        <v>0</v>
      </c>
      <c r="N55" s="11">
        <f t="shared" si="8"/>
        <v>84.045999999999992</v>
      </c>
      <c r="O55" s="11">
        <f t="shared" si="10"/>
        <v>0</v>
      </c>
    </row>
    <row r="56" spans="2:15" ht="14.1" customHeight="1" x14ac:dyDescent="0.2">
      <c r="B56" s="115">
        <v>0</v>
      </c>
      <c r="C56" s="15">
        <v>110</v>
      </c>
      <c r="D56" s="67">
        <v>1.4</v>
      </c>
      <c r="E56" s="19">
        <v>31.9</v>
      </c>
      <c r="F56" s="17">
        <f t="shared" si="11"/>
        <v>0</v>
      </c>
      <c r="G56" s="11">
        <f t="shared" si="9"/>
        <v>44.66</v>
      </c>
      <c r="H56" s="29">
        <v>0.28000000000000003</v>
      </c>
      <c r="I56" s="11">
        <v>7.43</v>
      </c>
      <c r="J56" s="17">
        <f t="shared" si="12"/>
        <v>0</v>
      </c>
      <c r="K56" s="11">
        <f t="shared" si="7"/>
        <v>2.0804</v>
      </c>
      <c r="L56" s="11">
        <v>66.62</v>
      </c>
      <c r="M56" s="18">
        <f t="shared" si="13"/>
        <v>0</v>
      </c>
      <c r="N56" s="11">
        <f t="shared" si="8"/>
        <v>113.3604</v>
      </c>
      <c r="O56" s="11">
        <f t="shared" si="10"/>
        <v>0</v>
      </c>
    </row>
    <row r="57" spans="2:15" ht="14.1" customHeight="1" x14ac:dyDescent="0.2">
      <c r="B57" s="115">
        <v>0</v>
      </c>
      <c r="C57" s="15">
        <v>125</v>
      </c>
      <c r="D57" s="67">
        <v>1.6</v>
      </c>
      <c r="E57" s="19">
        <v>31.9</v>
      </c>
      <c r="F57" s="17">
        <f t="shared" si="11"/>
        <v>0</v>
      </c>
      <c r="G57" s="11">
        <f t="shared" si="9"/>
        <v>51.04</v>
      </c>
      <c r="H57" s="29">
        <v>0.3</v>
      </c>
      <c r="I57" s="11">
        <v>7.43</v>
      </c>
      <c r="J57" s="17">
        <f t="shared" si="12"/>
        <v>0</v>
      </c>
      <c r="K57" s="11">
        <f t="shared" si="7"/>
        <v>2.2289999999999996</v>
      </c>
      <c r="L57" s="11">
        <v>86.04</v>
      </c>
      <c r="M57" s="18">
        <f t="shared" si="13"/>
        <v>0</v>
      </c>
      <c r="N57" s="11">
        <f t="shared" si="8"/>
        <v>139.309</v>
      </c>
      <c r="O57" s="11">
        <f t="shared" si="10"/>
        <v>0</v>
      </c>
    </row>
    <row r="58" spans="2:15" ht="14.1" customHeight="1" x14ac:dyDescent="0.2">
      <c r="B58" s="115">
        <v>0</v>
      </c>
      <c r="C58" s="15">
        <v>160</v>
      </c>
      <c r="D58" s="67">
        <v>1.8</v>
      </c>
      <c r="E58" s="19">
        <v>31.9</v>
      </c>
      <c r="F58" s="17">
        <f t="shared" si="11"/>
        <v>0</v>
      </c>
      <c r="G58" s="11">
        <f t="shared" si="9"/>
        <v>57.42</v>
      </c>
      <c r="H58" s="29">
        <v>0.38</v>
      </c>
      <c r="I58" s="11">
        <v>7.43</v>
      </c>
      <c r="J58" s="17">
        <f t="shared" si="12"/>
        <v>0</v>
      </c>
      <c r="K58" s="11">
        <f t="shared" si="7"/>
        <v>2.8233999999999999</v>
      </c>
      <c r="L58" s="11">
        <v>112.4</v>
      </c>
      <c r="M58" s="18">
        <f t="shared" si="13"/>
        <v>0</v>
      </c>
      <c r="N58" s="11">
        <f t="shared" si="8"/>
        <v>172.64340000000001</v>
      </c>
      <c r="O58" s="11">
        <f t="shared" si="10"/>
        <v>0</v>
      </c>
    </row>
    <row r="59" spans="2:15" ht="14.1" customHeight="1" x14ac:dyDescent="0.2">
      <c r="B59" s="115">
        <v>0</v>
      </c>
      <c r="C59" s="15">
        <v>200</v>
      </c>
      <c r="D59" s="67">
        <v>2.2000000000000002</v>
      </c>
      <c r="E59" s="19">
        <v>31.9</v>
      </c>
      <c r="F59" s="17">
        <f t="shared" si="11"/>
        <v>0</v>
      </c>
      <c r="G59" s="11">
        <f t="shared" si="9"/>
        <v>70.180000000000007</v>
      </c>
      <c r="H59" s="29">
        <v>0.26</v>
      </c>
      <c r="I59" s="11">
        <v>7.43</v>
      </c>
      <c r="J59" s="17">
        <f t="shared" si="12"/>
        <v>0</v>
      </c>
      <c r="K59" s="11">
        <f t="shared" si="7"/>
        <v>1.9318</v>
      </c>
      <c r="L59" s="11">
        <v>129.82</v>
      </c>
      <c r="M59" s="18">
        <f>$M$50</f>
        <v>0</v>
      </c>
      <c r="N59" s="11">
        <f t="shared" si="8"/>
        <v>201.93180000000001</v>
      </c>
      <c r="O59" s="11">
        <f t="shared" si="10"/>
        <v>0</v>
      </c>
    </row>
    <row r="60" spans="2:15" ht="14.1" customHeight="1" x14ac:dyDescent="0.2">
      <c r="M60" s="225" t="s">
        <v>12</v>
      </c>
      <c r="N60" s="226"/>
      <c r="O60" s="4">
        <f>SUM($O$50:$O$59)</f>
        <v>0</v>
      </c>
    </row>
    <row r="61" spans="2:15" ht="14.1" customHeight="1" x14ac:dyDescent="0.2">
      <c r="M61" s="225" t="s">
        <v>161</v>
      </c>
      <c r="N61" s="226"/>
      <c r="O61" s="91">
        <f>SUMPRODUCT(B50:B59,D50:D59)</f>
        <v>0</v>
      </c>
    </row>
    <row r="64" spans="2:15" ht="14.1" customHeight="1" x14ac:dyDescent="0.25">
      <c r="B64" s="214" t="s">
        <v>224</v>
      </c>
      <c r="C64" s="214"/>
      <c r="D64" s="214"/>
    </row>
    <row r="66" spans="1:16" s="57" customFormat="1" ht="30" customHeight="1" x14ac:dyDescent="0.3">
      <c r="A66" s="232" t="s">
        <v>210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</row>
    <row r="67" spans="1:16" ht="14.1" customHeight="1" x14ac:dyDescent="0.2">
      <c r="J67" s="23"/>
      <c r="K67" s="23"/>
      <c r="L67" s="23"/>
      <c r="M67" s="23"/>
    </row>
    <row r="68" spans="1:16" ht="14.1" customHeight="1" x14ac:dyDescent="0.2">
      <c r="K68" s="192" t="s">
        <v>54</v>
      </c>
      <c r="L68" s="192"/>
      <c r="M68" s="192"/>
      <c r="N68" s="192"/>
    </row>
    <row r="69" spans="1:16" ht="14.1" customHeight="1" x14ac:dyDescent="0.2">
      <c r="K69" s="192" t="s">
        <v>57</v>
      </c>
      <c r="L69" s="192"/>
      <c r="M69" s="192"/>
      <c r="N69" s="192"/>
    </row>
    <row r="70" spans="1:16" ht="14.1" customHeight="1" x14ac:dyDescent="0.2">
      <c r="K70" s="192" t="s">
        <v>58</v>
      </c>
      <c r="L70" s="192"/>
      <c r="M70" s="192"/>
      <c r="N70" s="192"/>
    </row>
    <row r="71" spans="1:16" ht="14.1" customHeight="1" x14ac:dyDescent="0.2">
      <c r="K71" s="192" t="s">
        <v>10</v>
      </c>
      <c r="L71" s="192"/>
      <c r="M71" s="192"/>
      <c r="N71" s="192"/>
    </row>
    <row r="72" spans="1:16" ht="14.1" customHeight="1" x14ac:dyDescent="0.2">
      <c r="C72" s="221" t="s">
        <v>66</v>
      </c>
      <c r="D72" s="221"/>
      <c r="E72" s="2"/>
      <c r="F72" s="2"/>
      <c r="G72" s="2"/>
      <c r="K72" s="192" t="s">
        <v>59</v>
      </c>
      <c r="L72" s="192"/>
      <c r="M72" s="192"/>
      <c r="N72" s="192"/>
    </row>
    <row r="73" spans="1:16" ht="14.1" customHeight="1" x14ac:dyDescent="0.2">
      <c r="C73" s="7" t="s">
        <v>63</v>
      </c>
      <c r="D73" s="7" t="s">
        <v>64</v>
      </c>
      <c r="E73" s="221" t="s">
        <v>65</v>
      </c>
      <c r="F73" s="221"/>
      <c r="G73" s="221"/>
    </row>
    <row r="74" spans="1:16" ht="14.1" customHeight="1" x14ac:dyDescent="0.2">
      <c r="C74" s="116">
        <v>50</v>
      </c>
      <c r="D74" s="116">
        <v>20</v>
      </c>
      <c r="E74" s="238">
        <f>(C74*D74)/10000</f>
        <v>0.1</v>
      </c>
      <c r="F74" s="238"/>
      <c r="G74" s="238"/>
    </row>
    <row r="76" spans="1:16" s="8" customFormat="1" ht="20.100000000000001" customHeight="1" x14ac:dyDescent="0.2">
      <c r="C76" s="246" t="s">
        <v>60</v>
      </c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</row>
    <row r="77" spans="1:16" ht="27.75" customHeight="1" x14ac:dyDescent="0.2">
      <c r="C77" s="189" t="s">
        <v>5</v>
      </c>
      <c r="D77" s="189" t="s">
        <v>62</v>
      </c>
      <c r="E77" s="221" t="s">
        <v>61</v>
      </c>
      <c r="F77" s="221"/>
      <c r="G77" s="221"/>
      <c r="H77" s="221"/>
      <c r="I77" s="222" t="s">
        <v>212</v>
      </c>
      <c r="J77" s="223"/>
      <c r="K77" s="223"/>
      <c r="L77" s="224"/>
      <c r="M77" s="189" t="s">
        <v>53</v>
      </c>
      <c r="N77" s="189" t="s">
        <v>53</v>
      </c>
    </row>
    <row r="78" spans="1:16" ht="14.1" customHeight="1" x14ac:dyDescent="0.2">
      <c r="C78" s="189"/>
      <c r="D78" s="189"/>
      <c r="E78" s="7" t="s">
        <v>1</v>
      </c>
      <c r="F78" s="7" t="s">
        <v>2</v>
      </c>
      <c r="G78" s="7" t="s">
        <v>3</v>
      </c>
      <c r="H78" s="7" t="s">
        <v>4</v>
      </c>
      <c r="I78" s="7" t="s">
        <v>164</v>
      </c>
      <c r="J78" s="7" t="s">
        <v>165</v>
      </c>
      <c r="K78" s="7" t="s">
        <v>3</v>
      </c>
      <c r="L78" s="7" t="s">
        <v>4</v>
      </c>
      <c r="M78" s="189"/>
      <c r="N78" s="189"/>
    </row>
    <row r="79" spans="1:16" ht="14.1" customHeight="1" x14ac:dyDescent="0.2">
      <c r="C79" s="115">
        <v>0</v>
      </c>
      <c r="D79" s="5">
        <v>0.01</v>
      </c>
      <c r="E79" s="20">
        <v>2E-3</v>
      </c>
      <c r="F79" s="11">
        <v>510</v>
      </c>
      <c r="G79" s="114">
        <v>0</v>
      </c>
      <c r="H79" s="21">
        <f>F79*(1-G79)*E79</f>
        <v>1.02</v>
      </c>
      <c r="I79" s="5">
        <v>0.01</v>
      </c>
      <c r="J79" s="22">
        <v>58</v>
      </c>
      <c r="K79" s="114">
        <v>0</v>
      </c>
      <c r="L79" s="11">
        <f t="shared" ref="L79:L86" si="14">J79*(1-K79)*I79</f>
        <v>0.57999999999999996</v>
      </c>
      <c r="M79" s="11">
        <f t="shared" ref="M79:M86" si="15">L79+H79</f>
        <v>1.6</v>
      </c>
      <c r="N79" s="11">
        <f t="shared" ref="N79:N86" si="16">M79*C79</f>
        <v>0</v>
      </c>
    </row>
    <row r="80" spans="1:16" ht="14.1" customHeight="1" x14ac:dyDescent="0.2">
      <c r="C80" s="115">
        <v>0</v>
      </c>
      <c r="D80" s="5">
        <v>0.02</v>
      </c>
      <c r="E80" s="20">
        <v>3.0000000000000001E-3</v>
      </c>
      <c r="F80" s="11">
        <v>510</v>
      </c>
      <c r="G80" s="17">
        <f t="shared" ref="G80:G86" si="17">$G$79</f>
        <v>0</v>
      </c>
      <c r="H80" s="21">
        <f t="shared" ref="H80:H86" si="18">F80*(1-G80)*E80</f>
        <v>1.53</v>
      </c>
      <c r="I80" s="5">
        <v>0.02</v>
      </c>
      <c r="J80" s="22">
        <v>58</v>
      </c>
      <c r="K80" s="17">
        <f t="shared" ref="K80:K86" si="19">$K$79</f>
        <v>0</v>
      </c>
      <c r="L80" s="11">
        <f t="shared" si="14"/>
        <v>1.1599999999999999</v>
      </c>
      <c r="M80" s="11">
        <f t="shared" si="15"/>
        <v>2.69</v>
      </c>
      <c r="N80" s="11">
        <f t="shared" si="16"/>
        <v>0</v>
      </c>
    </row>
    <row r="81" spans="3:14" ht="14.1" customHeight="1" x14ac:dyDescent="0.2">
      <c r="C81" s="115">
        <v>0</v>
      </c>
      <c r="D81" s="5">
        <v>0.05</v>
      </c>
      <c r="E81" s="20">
        <v>8.9999999999999993E-3</v>
      </c>
      <c r="F81" s="11">
        <v>510</v>
      </c>
      <c r="G81" s="17">
        <f t="shared" si="17"/>
        <v>0</v>
      </c>
      <c r="H81" s="21">
        <f t="shared" si="18"/>
        <v>4.59</v>
      </c>
      <c r="I81" s="5">
        <v>0.05</v>
      </c>
      <c r="J81" s="22">
        <v>58</v>
      </c>
      <c r="K81" s="17">
        <f t="shared" si="19"/>
        <v>0</v>
      </c>
      <c r="L81" s="11">
        <f t="shared" si="14"/>
        <v>2.9000000000000004</v>
      </c>
      <c r="M81" s="11">
        <f t="shared" si="15"/>
        <v>7.49</v>
      </c>
      <c r="N81" s="11">
        <f t="shared" si="16"/>
        <v>0</v>
      </c>
    </row>
    <row r="82" spans="3:14" ht="14.1" customHeight="1" x14ac:dyDescent="0.2">
      <c r="C82" s="115">
        <v>0</v>
      </c>
      <c r="D82" s="5">
        <v>0.1</v>
      </c>
      <c r="E82" s="20">
        <v>0.02</v>
      </c>
      <c r="F82" s="11">
        <v>510</v>
      </c>
      <c r="G82" s="17">
        <f t="shared" si="17"/>
        <v>0</v>
      </c>
      <c r="H82" s="21">
        <f t="shared" si="18"/>
        <v>10.200000000000001</v>
      </c>
      <c r="I82" s="5">
        <v>0.1</v>
      </c>
      <c r="J82" s="22">
        <v>58</v>
      </c>
      <c r="K82" s="17">
        <f t="shared" si="19"/>
        <v>0</v>
      </c>
      <c r="L82" s="11">
        <f t="shared" si="14"/>
        <v>5.8000000000000007</v>
      </c>
      <c r="M82" s="11">
        <f t="shared" si="15"/>
        <v>16</v>
      </c>
      <c r="N82" s="11">
        <f t="shared" si="16"/>
        <v>0</v>
      </c>
    </row>
    <row r="83" spans="3:14" ht="14.1" customHeight="1" x14ac:dyDescent="0.2">
      <c r="C83" s="115">
        <v>0</v>
      </c>
      <c r="D83" s="5">
        <v>0.2</v>
      </c>
      <c r="E83" s="20">
        <v>3.4000000000000002E-2</v>
      </c>
      <c r="F83" s="11">
        <v>510</v>
      </c>
      <c r="G83" s="17">
        <f t="shared" si="17"/>
        <v>0</v>
      </c>
      <c r="H83" s="21">
        <f t="shared" si="18"/>
        <v>17.34</v>
      </c>
      <c r="I83" s="5">
        <v>0.2</v>
      </c>
      <c r="J83" s="22">
        <v>58</v>
      </c>
      <c r="K83" s="17">
        <f t="shared" si="19"/>
        <v>0</v>
      </c>
      <c r="L83" s="11">
        <f t="shared" si="14"/>
        <v>11.600000000000001</v>
      </c>
      <c r="M83" s="11">
        <f t="shared" si="15"/>
        <v>28.94</v>
      </c>
      <c r="N83" s="11">
        <f t="shared" si="16"/>
        <v>0</v>
      </c>
    </row>
    <row r="84" spans="3:14" ht="14.1" customHeight="1" x14ac:dyDescent="0.2">
      <c r="C84" s="115">
        <v>0</v>
      </c>
      <c r="D84" s="5">
        <v>0.3</v>
      </c>
      <c r="E84" s="20">
        <v>0.05</v>
      </c>
      <c r="F84" s="11">
        <v>510</v>
      </c>
      <c r="G84" s="17">
        <f t="shared" si="17"/>
        <v>0</v>
      </c>
      <c r="H84" s="21">
        <f t="shared" si="18"/>
        <v>25.5</v>
      </c>
      <c r="I84" s="5">
        <v>0.3</v>
      </c>
      <c r="J84" s="22">
        <v>58</v>
      </c>
      <c r="K84" s="17">
        <f t="shared" si="19"/>
        <v>0</v>
      </c>
      <c r="L84" s="11">
        <f t="shared" si="14"/>
        <v>17.399999999999999</v>
      </c>
      <c r="M84" s="11">
        <f t="shared" si="15"/>
        <v>42.9</v>
      </c>
      <c r="N84" s="11">
        <f t="shared" si="16"/>
        <v>0</v>
      </c>
    </row>
    <row r="85" spans="3:14" ht="14.1" customHeight="1" x14ac:dyDescent="0.2">
      <c r="C85" s="115">
        <v>0</v>
      </c>
      <c r="D85" s="5">
        <v>0.5</v>
      </c>
      <c r="E85" s="20">
        <v>8.6999999999999994E-2</v>
      </c>
      <c r="F85" s="11">
        <v>510</v>
      </c>
      <c r="G85" s="17">
        <f t="shared" si="17"/>
        <v>0</v>
      </c>
      <c r="H85" s="21">
        <f t="shared" si="18"/>
        <v>44.37</v>
      </c>
      <c r="I85" s="5">
        <v>0.5</v>
      </c>
      <c r="J85" s="22">
        <v>58</v>
      </c>
      <c r="K85" s="17">
        <f t="shared" si="19"/>
        <v>0</v>
      </c>
      <c r="L85" s="11">
        <f t="shared" si="14"/>
        <v>29</v>
      </c>
      <c r="M85" s="11">
        <f t="shared" si="15"/>
        <v>73.37</v>
      </c>
      <c r="N85" s="11">
        <f t="shared" si="16"/>
        <v>0</v>
      </c>
    </row>
    <row r="86" spans="3:14" ht="14.1" customHeight="1" x14ac:dyDescent="0.2">
      <c r="C86" s="115">
        <v>0</v>
      </c>
      <c r="D86" s="5">
        <v>1</v>
      </c>
      <c r="E86" s="20">
        <v>0.17</v>
      </c>
      <c r="F86" s="11">
        <v>510</v>
      </c>
      <c r="G86" s="17">
        <f t="shared" si="17"/>
        <v>0</v>
      </c>
      <c r="H86" s="21">
        <f t="shared" si="18"/>
        <v>86.7</v>
      </c>
      <c r="I86" s="5">
        <v>1</v>
      </c>
      <c r="J86" s="22">
        <v>58</v>
      </c>
      <c r="K86" s="17">
        <f t="shared" si="19"/>
        <v>0</v>
      </c>
      <c r="L86" s="40">
        <f t="shared" si="14"/>
        <v>58</v>
      </c>
      <c r="M86" s="40">
        <f t="shared" si="15"/>
        <v>144.69999999999999</v>
      </c>
      <c r="N86" s="40">
        <f t="shared" si="16"/>
        <v>0</v>
      </c>
    </row>
    <row r="87" spans="3:14" ht="14.1" customHeight="1" x14ac:dyDescent="0.2">
      <c r="L87" s="196" t="s">
        <v>12</v>
      </c>
      <c r="M87" s="196"/>
      <c r="N87" s="41">
        <f>SUM($N$79:$N$86)</f>
        <v>0</v>
      </c>
    </row>
    <row r="88" spans="3:14" ht="14.1" customHeight="1" x14ac:dyDescent="0.2">
      <c r="L88" s="196" t="s">
        <v>163</v>
      </c>
      <c r="M88" s="196"/>
      <c r="N88" s="92">
        <f>SUMPRODUCT(C79:C86,E79:E86)</f>
        <v>0</v>
      </c>
    </row>
    <row r="89" spans="3:14" ht="14.1" customHeight="1" x14ac:dyDescent="0.2">
      <c r="L89" s="196" t="s">
        <v>162</v>
      </c>
      <c r="M89" s="196"/>
      <c r="N89" s="92">
        <f>SUMPRODUCT(C79:C86,I79:I86)</f>
        <v>0</v>
      </c>
    </row>
    <row r="91" spans="3:14" ht="20.100000000000001" customHeight="1" x14ac:dyDescent="0.2">
      <c r="C91" s="209" t="s">
        <v>67</v>
      </c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1"/>
    </row>
    <row r="92" spans="3:14" ht="29.25" customHeight="1" x14ac:dyDescent="0.2">
      <c r="C92" s="189" t="s">
        <v>5</v>
      </c>
      <c r="D92" s="189" t="s">
        <v>62</v>
      </c>
      <c r="E92" s="221" t="s">
        <v>61</v>
      </c>
      <c r="F92" s="221"/>
      <c r="G92" s="221"/>
      <c r="H92" s="221"/>
      <c r="I92" s="222" t="s">
        <v>213</v>
      </c>
      <c r="J92" s="223"/>
      <c r="K92" s="223"/>
      <c r="L92" s="224"/>
      <c r="M92" s="189" t="s">
        <v>53</v>
      </c>
      <c r="N92" s="189" t="s">
        <v>53</v>
      </c>
    </row>
    <row r="93" spans="3:14" ht="14.1" customHeight="1" x14ac:dyDescent="0.2">
      <c r="C93" s="189"/>
      <c r="D93" s="189"/>
      <c r="E93" s="7" t="s">
        <v>1</v>
      </c>
      <c r="F93" s="7" t="s">
        <v>2</v>
      </c>
      <c r="G93" s="7" t="s">
        <v>3</v>
      </c>
      <c r="H93" s="7" t="s">
        <v>4</v>
      </c>
      <c r="I93" s="7" t="s">
        <v>164</v>
      </c>
      <c r="J93" s="7" t="s">
        <v>165</v>
      </c>
      <c r="K93" s="7" t="s">
        <v>3</v>
      </c>
      <c r="L93" s="7" t="s">
        <v>4</v>
      </c>
      <c r="M93" s="189"/>
      <c r="N93" s="189"/>
    </row>
    <row r="94" spans="3:14" ht="14.1" customHeight="1" x14ac:dyDescent="0.2">
      <c r="C94" s="109">
        <v>0</v>
      </c>
      <c r="D94" s="5">
        <v>0.01</v>
      </c>
      <c r="E94" s="5">
        <v>3.5000000000000001E-3</v>
      </c>
      <c r="F94" s="21">
        <v>510</v>
      </c>
      <c r="G94" s="117">
        <v>0</v>
      </c>
      <c r="H94" s="21">
        <f>F94*(1-G94)*E94</f>
        <v>1.7850000000000001</v>
      </c>
      <c r="I94" s="5">
        <v>0.01</v>
      </c>
      <c r="J94" s="22">
        <v>58</v>
      </c>
      <c r="K94" s="117">
        <v>0</v>
      </c>
      <c r="L94" s="5">
        <f t="shared" ref="L94:L101" si="20">J94*(1-K94)*I94</f>
        <v>0.57999999999999996</v>
      </c>
      <c r="M94" s="21">
        <f t="shared" ref="M94:M101" si="21">L94+H94</f>
        <v>2.3650000000000002</v>
      </c>
      <c r="N94" s="21">
        <f t="shared" ref="N94:N101" si="22">M94*C94</f>
        <v>0</v>
      </c>
    </row>
    <row r="95" spans="3:14" ht="14.1" customHeight="1" x14ac:dyDescent="0.2">
      <c r="C95" s="109">
        <v>0</v>
      </c>
      <c r="D95" s="5">
        <v>0.02</v>
      </c>
      <c r="E95" s="5">
        <v>7.0000000000000001E-3</v>
      </c>
      <c r="F95" s="79">
        <v>510</v>
      </c>
      <c r="G95" s="16">
        <f t="shared" ref="G95:G101" si="23">$G$94</f>
        <v>0</v>
      </c>
      <c r="H95" s="21">
        <f t="shared" ref="H95:H101" si="24">F95*(1-G95)*E95</f>
        <v>3.5700000000000003</v>
      </c>
      <c r="I95" s="5">
        <v>0.02</v>
      </c>
      <c r="J95" s="22">
        <v>58</v>
      </c>
      <c r="K95" s="16">
        <f t="shared" ref="K95:K101" si="25">$K$94</f>
        <v>0</v>
      </c>
      <c r="L95" s="5">
        <f t="shared" si="20"/>
        <v>1.1599999999999999</v>
      </c>
      <c r="M95" s="21">
        <f t="shared" si="21"/>
        <v>4.7300000000000004</v>
      </c>
      <c r="N95" s="21">
        <f t="shared" si="22"/>
        <v>0</v>
      </c>
    </row>
    <row r="96" spans="3:14" ht="14.1" customHeight="1" x14ac:dyDescent="0.2">
      <c r="C96" s="109">
        <v>0</v>
      </c>
      <c r="D96" s="5">
        <v>0.05</v>
      </c>
      <c r="E96" s="5">
        <v>1.7000000000000001E-2</v>
      </c>
      <c r="F96" s="79">
        <v>510</v>
      </c>
      <c r="G96" s="16">
        <f t="shared" si="23"/>
        <v>0</v>
      </c>
      <c r="H96" s="21">
        <f t="shared" si="24"/>
        <v>8.67</v>
      </c>
      <c r="I96" s="5">
        <v>0.05</v>
      </c>
      <c r="J96" s="22">
        <v>58</v>
      </c>
      <c r="K96" s="16">
        <f t="shared" si="25"/>
        <v>0</v>
      </c>
      <c r="L96" s="5">
        <f t="shared" si="20"/>
        <v>2.9000000000000004</v>
      </c>
      <c r="M96" s="21">
        <f t="shared" si="21"/>
        <v>11.57</v>
      </c>
      <c r="N96" s="21">
        <f t="shared" si="22"/>
        <v>0</v>
      </c>
    </row>
    <row r="97" spans="3:14" ht="14.1" customHeight="1" x14ac:dyDescent="0.2">
      <c r="C97" s="109">
        <v>0</v>
      </c>
      <c r="D97" s="5">
        <v>0.1</v>
      </c>
      <c r="E97" s="5">
        <v>3.4000000000000002E-2</v>
      </c>
      <c r="F97" s="79">
        <v>510</v>
      </c>
      <c r="G97" s="16">
        <f t="shared" si="23"/>
        <v>0</v>
      </c>
      <c r="H97" s="21">
        <f t="shared" si="24"/>
        <v>17.34</v>
      </c>
      <c r="I97" s="5">
        <v>0.1</v>
      </c>
      <c r="J97" s="22">
        <v>58</v>
      </c>
      <c r="K97" s="16">
        <f t="shared" si="25"/>
        <v>0</v>
      </c>
      <c r="L97" s="5">
        <f t="shared" si="20"/>
        <v>5.8000000000000007</v>
      </c>
      <c r="M97" s="21">
        <f t="shared" si="21"/>
        <v>23.14</v>
      </c>
      <c r="N97" s="21">
        <f t="shared" si="22"/>
        <v>0</v>
      </c>
    </row>
    <row r="98" spans="3:14" ht="14.1" customHeight="1" x14ac:dyDescent="0.2">
      <c r="C98" s="109">
        <v>0</v>
      </c>
      <c r="D98" s="5">
        <v>0.2</v>
      </c>
      <c r="E98" s="5">
        <v>6.9000000000000006E-2</v>
      </c>
      <c r="F98" s="79">
        <v>510</v>
      </c>
      <c r="G98" s="16">
        <f t="shared" si="23"/>
        <v>0</v>
      </c>
      <c r="H98" s="21">
        <f t="shared" si="24"/>
        <v>35.190000000000005</v>
      </c>
      <c r="I98" s="5">
        <v>0.2</v>
      </c>
      <c r="J98" s="22">
        <v>58</v>
      </c>
      <c r="K98" s="16">
        <f t="shared" si="25"/>
        <v>0</v>
      </c>
      <c r="L98" s="5">
        <f t="shared" si="20"/>
        <v>11.600000000000001</v>
      </c>
      <c r="M98" s="21">
        <f t="shared" si="21"/>
        <v>46.790000000000006</v>
      </c>
      <c r="N98" s="21">
        <f t="shared" si="22"/>
        <v>0</v>
      </c>
    </row>
    <row r="99" spans="3:14" ht="14.1" customHeight="1" x14ac:dyDescent="0.2">
      <c r="C99" s="109">
        <v>0</v>
      </c>
      <c r="D99" s="5">
        <v>0.3</v>
      </c>
      <c r="E99" s="5">
        <v>0.104</v>
      </c>
      <c r="F99" s="79">
        <v>510</v>
      </c>
      <c r="G99" s="16">
        <f t="shared" si="23"/>
        <v>0</v>
      </c>
      <c r="H99" s="21">
        <f t="shared" si="24"/>
        <v>53.04</v>
      </c>
      <c r="I99" s="5">
        <v>0.3</v>
      </c>
      <c r="J99" s="22">
        <v>58</v>
      </c>
      <c r="K99" s="16">
        <f t="shared" si="25"/>
        <v>0</v>
      </c>
      <c r="L99" s="5">
        <f t="shared" si="20"/>
        <v>17.399999999999999</v>
      </c>
      <c r="M99" s="21">
        <f t="shared" si="21"/>
        <v>70.44</v>
      </c>
      <c r="N99" s="21">
        <f t="shared" si="22"/>
        <v>0</v>
      </c>
    </row>
    <row r="100" spans="3:14" ht="14.1" customHeight="1" x14ac:dyDescent="0.2">
      <c r="C100" s="109">
        <v>0</v>
      </c>
      <c r="D100" s="5">
        <v>0.5</v>
      </c>
      <c r="E100" s="5">
        <v>0.17299999999999999</v>
      </c>
      <c r="F100" s="79">
        <v>510</v>
      </c>
      <c r="G100" s="16">
        <f t="shared" si="23"/>
        <v>0</v>
      </c>
      <c r="H100" s="21">
        <f t="shared" si="24"/>
        <v>88.22999999999999</v>
      </c>
      <c r="I100" s="5">
        <v>0.5</v>
      </c>
      <c r="J100" s="22">
        <v>58</v>
      </c>
      <c r="K100" s="16">
        <f t="shared" si="25"/>
        <v>0</v>
      </c>
      <c r="L100" s="5">
        <f t="shared" si="20"/>
        <v>29</v>
      </c>
      <c r="M100" s="21">
        <f t="shared" si="21"/>
        <v>117.22999999999999</v>
      </c>
      <c r="N100" s="21">
        <f t="shared" si="22"/>
        <v>0</v>
      </c>
    </row>
    <row r="101" spans="3:14" ht="14.1" customHeight="1" x14ac:dyDescent="0.2">
      <c r="C101" s="109">
        <v>0</v>
      </c>
      <c r="D101" s="5">
        <v>1</v>
      </c>
      <c r="E101" s="5">
        <v>0.34699999999999998</v>
      </c>
      <c r="F101" s="79">
        <v>510</v>
      </c>
      <c r="G101" s="16">
        <f t="shared" si="23"/>
        <v>0</v>
      </c>
      <c r="H101" s="21">
        <f t="shared" si="24"/>
        <v>176.97</v>
      </c>
      <c r="I101" s="5">
        <v>1</v>
      </c>
      <c r="J101" s="22">
        <v>58</v>
      </c>
      <c r="K101" s="16">
        <f t="shared" si="25"/>
        <v>0</v>
      </c>
      <c r="L101" s="43">
        <f t="shared" si="20"/>
        <v>58</v>
      </c>
      <c r="M101" s="44">
        <f t="shared" si="21"/>
        <v>234.97</v>
      </c>
      <c r="N101" s="44">
        <f t="shared" si="22"/>
        <v>0</v>
      </c>
    </row>
    <row r="102" spans="3:14" ht="14.1" customHeight="1" x14ac:dyDescent="0.2">
      <c r="L102" s="196" t="s">
        <v>12</v>
      </c>
      <c r="M102" s="196"/>
      <c r="N102" s="41">
        <f>SUM($N$94:$N$101)</f>
        <v>0</v>
      </c>
    </row>
    <row r="103" spans="3:14" ht="14.1" customHeight="1" x14ac:dyDescent="0.2">
      <c r="L103" s="196" t="s">
        <v>163</v>
      </c>
      <c r="M103" s="196"/>
      <c r="N103" s="92">
        <f>SUMPRODUCT(C94:C101,E94:E101)</f>
        <v>0</v>
      </c>
    </row>
    <row r="104" spans="3:14" ht="14.1" customHeight="1" x14ac:dyDescent="0.2">
      <c r="L104" s="196" t="s">
        <v>162</v>
      </c>
      <c r="M104" s="196"/>
      <c r="N104" s="92">
        <f>SUMPRODUCT(C94:C101,I94:I101)</f>
        <v>0</v>
      </c>
    </row>
    <row r="106" spans="3:14" ht="20.100000000000001" customHeight="1" x14ac:dyDescent="0.2">
      <c r="C106" s="209" t="s">
        <v>68</v>
      </c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1"/>
    </row>
    <row r="107" spans="3:14" ht="32.25" customHeight="1" x14ac:dyDescent="0.2">
      <c r="C107" s="233" t="s">
        <v>5</v>
      </c>
      <c r="D107" s="189" t="s">
        <v>62</v>
      </c>
      <c r="E107" s="221" t="s">
        <v>61</v>
      </c>
      <c r="F107" s="221"/>
      <c r="G107" s="221"/>
      <c r="H107" s="221"/>
      <c r="I107" s="222" t="s">
        <v>213</v>
      </c>
      <c r="J107" s="223"/>
      <c r="K107" s="223"/>
      <c r="L107" s="224"/>
      <c r="M107" s="189" t="s">
        <v>53</v>
      </c>
      <c r="N107" s="189" t="s">
        <v>53</v>
      </c>
    </row>
    <row r="108" spans="3:14" ht="14.1" customHeight="1" x14ac:dyDescent="0.2">
      <c r="C108" s="233"/>
      <c r="D108" s="189"/>
      <c r="E108" s="7" t="s">
        <v>1</v>
      </c>
      <c r="F108" s="7" t="s">
        <v>2</v>
      </c>
      <c r="G108" s="7" t="s">
        <v>3</v>
      </c>
      <c r="H108" s="7" t="s">
        <v>4</v>
      </c>
      <c r="I108" s="7" t="s">
        <v>164</v>
      </c>
      <c r="J108" s="7" t="s">
        <v>165</v>
      </c>
      <c r="K108" s="7" t="s">
        <v>3</v>
      </c>
      <c r="L108" s="7" t="s">
        <v>4</v>
      </c>
      <c r="M108" s="189"/>
      <c r="N108" s="189"/>
    </row>
    <row r="109" spans="3:14" ht="14.1" customHeight="1" x14ac:dyDescent="0.2">
      <c r="C109" s="109">
        <v>0</v>
      </c>
      <c r="D109" s="5">
        <v>0.01</v>
      </c>
      <c r="E109" s="5">
        <v>7.0000000000000001E-3</v>
      </c>
      <c r="F109" s="21">
        <v>510</v>
      </c>
      <c r="G109" s="117">
        <v>0</v>
      </c>
      <c r="H109" s="21">
        <f>F109*(1-G109)*E109</f>
        <v>3.5700000000000003</v>
      </c>
      <c r="I109" s="5">
        <v>0.02</v>
      </c>
      <c r="J109" s="22">
        <v>58</v>
      </c>
      <c r="K109" s="117">
        <v>0</v>
      </c>
      <c r="L109" s="21">
        <f t="shared" ref="L109:L116" si="26">J109*(1-K109)*I109</f>
        <v>1.1599999999999999</v>
      </c>
      <c r="M109" s="21">
        <f t="shared" ref="M109:M116" si="27">L109+H109</f>
        <v>4.7300000000000004</v>
      </c>
      <c r="N109" s="21">
        <f t="shared" ref="N109:N116" si="28">M109*C109</f>
        <v>0</v>
      </c>
    </row>
    <row r="110" spans="3:14" ht="14.1" customHeight="1" x14ac:dyDescent="0.2">
      <c r="C110" s="109">
        <v>0</v>
      </c>
      <c r="D110" s="5">
        <v>0.02</v>
      </c>
      <c r="E110" s="5">
        <v>1.4E-2</v>
      </c>
      <c r="F110" s="79">
        <v>510</v>
      </c>
      <c r="G110" s="16">
        <f t="shared" ref="G110:G116" si="29">$G$109</f>
        <v>0</v>
      </c>
      <c r="H110" s="21">
        <f t="shared" ref="H110:H116" si="30">F110*(1-G110)*E110</f>
        <v>7.1400000000000006</v>
      </c>
      <c r="I110" s="5">
        <v>0.04</v>
      </c>
      <c r="J110" s="22">
        <v>58</v>
      </c>
      <c r="K110" s="16">
        <f t="shared" ref="K110:K116" si="31">$K$109</f>
        <v>0</v>
      </c>
      <c r="L110" s="21">
        <f t="shared" si="26"/>
        <v>2.3199999999999998</v>
      </c>
      <c r="M110" s="21">
        <f t="shared" si="27"/>
        <v>9.4600000000000009</v>
      </c>
      <c r="N110" s="21">
        <f t="shared" si="28"/>
        <v>0</v>
      </c>
    </row>
    <row r="111" spans="3:14" ht="14.1" customHeight="1" x14ac:dyDescent="0.2">
      <c r="C111" s="109">
        <v>0</v>
      </c>
      <c r="D111" s="5">
        <v>0.05</v>
      </c>
      <c r="E111" s="5">
        <v>3.4000000000000002E-2</v>
      </c>
      <c r="F111" s="79">
        <v>510</v>
      </c>
      <c r="G111" s="16">
        <f t="shared" si="29"/>
        <v>0</v>
      </c>
      <c r="H111" s="21">
        <f t="shared" si="30"/>
        <v>17.34</v>
      </c>
      <c r="I111" s="5">
        <v>0.1</v>
      </c>
      <c r="J111" s="22">
        <v>58</v>
      </c>
      <c r="K111" s="16">
        <f t="shared" si="31"/>
        <v>0</v>
      </c>
      <c r="L111" s="21">
        <f t="shared" si="26"/>
        <v>5.8000000000000007</v>
      </c>
      <c r="M111" s="21">
        <f t="shared" si="27"/>
        <v>23.14</v>
      </c>
      <c r="N111" s="21">
        <f t="shared" si="28"/>
        <v>0</v>
      </c>
    </row>
    <row r="112" spans="3:14" ht="14.1" customHeight="1" x14ac:dyDescent="0.2">
      <c r="C112" s="109">
        <v>0</v>
      </c>
      <c r="D112" s="5">
        <v>0.1</v>
      </c>
      <c r="E112" s="5">
        <v>6.8000000000000005E-2</v>
      </c>
      <c r="F112" s="79">
        <v>510</v>
      </c>
      <c r="G112" s="16">
        <f t="shared" si="29"/>
        <v>0</v>
      </c>
      <c r="H112" s="21">
        <f t="shared" si="30"/>
        <v>34.68</v>
      </c>
      <c r="I112" s="5">
        <v>0.2</v>
      </c>
      <c r="J112" s="22">
        <v>58</v>
      </c>
      <c r="K112" s="16">
        <f t="shared" si="31"/>
        <v>0</v>
      </c>
      <c r="L112" s="21">
        <f t="shared" si="26"/>
        <v>11.600000000000001</v>
      </c>
      <c r="M112" s="21">
        <f t="shared" si="27"/>
        <v>46.28</v>
      </c>
      <c r="N112" s="21">
        <f t="shared" si="28"/>
        <v>0</v>
      </c>
    </row>
    <row r="113" spans="1:16" ht="14.1" customHeight="1" x14ac:dyDescent="0.2">
      <c r="C113" s="109">
        <v>0</v>
      </c>
      <c r="D113" s="5">
        <v>0.2</v>
      </c>
      <c r="E113" s="5">
        <v>0.13800000000000001</v>
      </c>
      <c r="F113" s="79">
        <v>510</v>
      </c>
      <c r="G113" s="16">
        <f t="shared" si="29"/>
        <v>0</v>
      </c>
      <c r="H113" s="21">
        <f t="shared" si="30"/>
        <v>70.38000000000001</v>
      </c>
      <c r="I113" s="5">
        <v>0.4</v>
      </c>
      <c r="J113" s="22">
        <v>58</v>
      </c>
      <c r="K113" s="16">
        <f t="shared" si="31"/>
        <v>0</v>
      </c>
      <c r="L113" s="21">
        <f t="shared" si="26"/>
        <v>23.200000000000003</v>
      </c>
      <c r="M113" s="21">
        <f t="shared" si="27"/>
        <v>93.580000000000013</v>
      </c>
      <c r="N113" s="21">
        <f t="shared" si="28"/>
        <v>0</v>
      </c>
    </row>
    <row r="114" spans="1:16" ht="14.1" customHeight="1" x14ac:dyDescent="0.2">
      <c r="C114" s="109">
        <v>0</v>
      </c>
      <c r="D114" s="5">
        <v>0.3</v>
      </c>
      <c r="E114" s="5">
        <v>0.20799999999999999</v>
      </c>
      <c r="F114" s="79">
        <v>510</v>
      </c>
      <c r="G114" s="16">
        <f t="shared" si="29"/>
        <v>0</v>
      </c>
      <c r="H114" s="21">
        <f t="shared" si="30"/>
        <v>106.08</v>
      </c>
      <c r="I114" s="5">
        <v>0.6</v>
      </c>
      <c r="J114" s="22">
        <v>58</v>
      </c>
      <c r="K114" s="16">
        <f t="shared" si="31"/>
        <v>0</v>
      </c>
      <c r="L114" s="21">
        <f t="shared" si="26"/>
        <v>34.799999999999997</v>
      </c>
      <c r="M114" s="21">
        <f t="shared" si="27"/>
        <v>140.88</v>
      </c>
      <c r="N114" s="21">
        <f t="shared" si="28"/>
        <v>0</v>
      </c>
    </row>
    <row r="115" spans="1:16" ht="14.1" customHeight="1" x14ac:dyDescent="0.2">
      <c r="C115" s="109">
        <v>0</v>
      </c>
      <c r="D115" s="5">
        <v>0.5</v>
      </c>
      <c r="E115" s="5">
        <v>0.34599999999999997</v>
      </c>
      <c r="F115" s="79">
        <v>510</v>
      </c>
      <c r="G115" s="16">
        <f t="shared" si="29"/>
        <v>0</v>
      </c>
      <c r="H115" s="21">
        <f t="shared" si="30"/>
        <v>176.45999999999998</v>
      </c>
      <c r="I115" s="5">
        <v>1</v>
      </c>
      <c r="J115" s="22">
        <v>58</v>
      </c>
      <c r="K115" s="16">
        <f t="shared" si="31"/>
        <v>0</v>
      </c>
      <c r="L115" s="21">
        <f t="shared" si="26"/>
        <v>58</v>
      </c>
      <c r="M115" s="21">
        <f t="shared" si="27"/>
        <v>234.45999999999998</v>
      </c>
      <c r="N115" s="21">
        <f t="shared" si="28"/>
        <v>0</v>
      </c>
    </row>
    <row r="116" spans="1:16" ht="14.1" customHeight="1" x14ac:dyDescent="0.2">
      <c r="C116" s="109">
        <v>0</v>
      </c>
      <c r="D116" s="5">
        <v>1</v>
      </c>
      <c r="E116" s="5">
        <v>0.69399999999999995</v>
      </c>
      <c r="F116" s="79">
        <v>510</v>
      </c>
      <c r="G116" s="16">
        <f t="shared" si="29"/>
        <v>0</v>
      </c>
      <c r="H116" s="21">
        <f t="shared" si="30"/>
        <v>353.94</v>
      </c>
      <c r="I116" s="5">
        <v>2</v>
      </c>
      <c r="J116" s="22">
        <v>58</v>
      </c>
      <c r="K116" s="16">
        <f t="shared" si="31"/>
        <v>0</v>
      </c>
      <c r="L116" s="44">
        <f t="shared" si="26"/>
        <v>116</v>
      </c>
      <c r="M116" s="44">
        <f t="shared" si="27"/>
        <v>469.94</v>
      </c>
      <c r="N116" s="44">
        <f t="shared" si="28"/>
        <v>0</v>
      </c>
    </row>
    <row r="117" spans="1:16" ht="14.1" customHeight="1" x14ac:dyDescent="0.2">
      <c r="L117" s="196" t="s">
        <v>12</v>
      </c>
      <c r="M117" s="196"/>
      <c r="N117" s="41">
        <f>SUM($N$109:$N$116)</f>
        <v>0</v>
      </c>
    </row>
    <row r="118" spans="1:16" ht="14.1" customHeight="1" x14ac:dyDescent="0.2">
      <c r="L118" s="196" t="s">
        <v>163</v>
      </c>
      <c r="M118" s="196"/>
      <c r="N118" s="93">
        <f>SUMPRODUCT(C109:C116,E109:E116)</f>
        <v>0</v>
      </c>
    </row>
    <row r="119" spans="1:16" ht="14.1" customHeight="1" x14ac:dyDescent="0.2">
      <c r="L119" s="196" t="s">
        <v>162</v>
      </c>
      <c r="M119" s="196"/>
      <c r="N119" s="93">
        <f>SUMPRODUCT(C109:C116,I109:I116)</f>
        <v>0</v>
      </c>
    </row>
    <row r="121" spans="1:16" ht="14.1" customHeight="1" x14ac:dyDescent="0.25">
      <c r="B121" s="214" t="s">
        <v>224</v>
      </c>
      <c r="C121" s="214"/>
      <c r="D121" s="214"/>
    </row>
    <row r="123" spans="1:16" s="57" customFormat="1" ht="30" customHeight="1" x14ac:dyDescent="0.3">
      <c r="A123" s="232" t="s">
        <v>69</v>
      </c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</row>
    <row r="125" spans="1:16" ht="14.1" customHeight="1" x14ac:dyDescent="0.2">
      <c r="J125" s="192" t="s">
        <v>54</v>
      </c>
      <c r="K125" s="192"/>
      <c r="L125" s="192"/>
      <c r="M125" s="192"/>
    </row>
    <row r="126" spans="1:16" ht="14.1" customHeight="1" x14ac:dyDescent="0.2">
      <c r="J126" s="192" t="s">
        <v>57</v>
      </c>
      <c r="K126" s="192"/>
      <c r="L126" s="192"/>
      <c r="M126" s="192"/>
    </row>
    <row r="127" spans="1:16" ht="14.1" customHeight="1" x14ac:dyDescent="0.2">
      <c r="J127" s="192" t="s">
        <v>55</v>
      </c>
      <c r="K127" s="192"/>
      <c r="L127" s="192"/>
      <c r="M127" s="192"/>
    </row>
    <row r="128" spans="1:16" ht="14.1" customHeight="1" x14ac:dyDescent="0.2">
      <c r="J128" s="192" t="s">
        <v>10</v>
      </c>
      <c r="K128" s="192"/>
      <c r="L128" s="192"/>
      <c r="M128" s="192"/>
    </row>
    <row r="129" spans="3:14" ht="14.1" customHeight="1" x14ac:dyDescent="0.2">
      <c r="J129" s="192" t="s">
        <v>56</v>
      </c>
      <c r="K129" s="192"/>
      <c r="L129" s="192"/>
      <c r="M129" s="192"/>
    </row>
    <row r="130" spans="3:14" ht="14.1" customHeight="1" x14ac:dyDescent="0.2">
      <c r="C130" s="221" t="s">
        <v>66</v>
      </c>
      <c r="D130" s="221"/>
      <c r="E130" s="2"/>
      <c r="F130" s="2"/>
      <c r="G130" s="2"/>
    </row>
    <row r="131" spans="3:14" ht="14.1" customHeight="1" x14ac:dyDescent="0.2">
      <c r="C131" s="7" t="s">
        <v>63</v>
      </c>
      <c r="D131" s="7" t="s">
        <v>64</v>
      </c>
      <c r="E131" s="221" t="s">
        <v>65</v>
      </c>
      <c r="F131" s="221"/>
      <c r="G131" s="221"/>
    </row>
    <row r="132" spans="3:14" ht="14.1" customHeight="1" x14ac:dyDescent="0.2">
      <c r="C132" s="116">
        <v>0</v>
      </c>
      <c r="D132" s="116">
        <v>0</v>
      </c>
      <c r="E132" s="238">
        <f>(C132*D132)/10000</f>
        <v>0</v>
      </c>
      <c r="F132" s="238"/>
      <c r="G132" s="238"/>
    </row>
    <row r="134" spans="3:14" ht="20.100000000000001" customHeight="1" x14ac:dyDescent="0.2">
      <c r="C134" s="209" t="s">
        <v>70</v>
      </c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1"/>
    </row>
    <row r="135" spans="3:14" ht="27" customHeight="1" x14ac:dyDescent="0.2">
      <c r="C135" s="189" t="s">
        <v>5</v>
      </c>
      <c r="D135" s="189" t="s">
        <v>62</v>
      </c>
      <c r="E135" s="221" t="s">
        <v>71</v>
      </c>
      <c r="F135" s="221"/>
      <c r="G135" s="221"/>
      <c r="H135" s="221"/>
      <c r="I135" s="222" t="s">
        <v>214</v>
      </c>
      <c r="J135" s="223"/>
      <c r="K135" s="223"/>
      <c r="L135" s="224"/>
      <c r="M135" s="189" t="s">
        <v>53</v>
      </c>
      <c r="N135" s="189" t="s">
        <v>53</v>
      </c>
    </row>
    <row r="136" spans="3:14" ht="14.1" customHeight="1" x14ac:dyDescent="0.2">
      <c r="C136" s="189"/>
      <c r="D136" s="189"/>
      <c r="E136" s="7" t="s">
        <v>1</v>
      </c>
      <c r="F136" s="7" t="s">
        <v>2</v>
      </c>
      <c r="G136" s="7" t="s">
        <v>3</v>
      </c>
      <c r="H136" s="7" t="s">
        <v>4</v>
      </c>
      <c r="I136" s="7" t="s">
        <v>50</v>
      </c>
      <c r="J136" s="7" t="s">
        <v>51</v>
      </c>
      <c r="K136" s="7" t="s">
        <v>3</v>
      </c>
      <c r="L136" s="7" t="s">
        <v>4</v>
      </c>
      <c r="M136" s="189"/>
      <c r="N136" s="189"/>
    </row>
    <row r="137" spans="3:14" ht="14.1" customHeight="1" x14ac:dyDescent="0.2">
      <c r="C137" s="109">
        <v>0</v>
      </c>
      <c r="D137" s="5">
        <v>0.01</v>
      </c>
      <c r="E137" s="5">
        <v>0.1</v>
      </c>
      <c r="F137" s="21">
        <v>201</v>
      </c>
      <c r="G137" s="110">
        <v>0</v>
      </c>
      <c r="H137" s="21">
        <f>F137*(1-G137)*E137</f>
        <v>20.100000000000001</v>
      </c>
      <c r="I137" s="5">
        <v>0.01</v>
      </c>
      <c r="J137" s="22">
        <v>58</v>
      </c>
      <c r="K137" s="110">
        <v>0</v>
      </c>
      <c r="L137" s="21">
        <f t="shared" ref="L137:L145" si="32">J137*(1-K137)*I137</f>
        <v>0.57999999999999996</v>
      </c>
      <c r="M137" s="21">
        <f>L137+J137</f>
        <v>58.58</v>
      </c>
      <c r="N137" s="21">
        <f t="shared" ref="N137:N145" si="33">M137*C137</f>
        <v>0</v>
      </c>
    </row>
    <row r="138" spans="3:14" ht="14.1" customHeight="1" x14ac:dyDescent="0.2">
      <c r="C138" s="109">
        <v>0</v>
      </c>
      <c r="D138" s="5">
        <v>0.02</v>
      </c>
      <c r="E138" s="5">
        <v>0.1</v>
      </c>
      <c r="F138" s="46">
        <v>201</v>
      </c>
      <c r="G138" s="16">
        <f>$G$137</f>
        <v>0</v>
      </c>
      <c r="H138" s="21">
        <f t="shared" ref="H138:H145" si="34">F138*(1-G138)*E138</f>
        <v>20.100000000000001</v>
      </c>
      <c r="I138" s="5">
        <v>0.02</v>
      </c>
      <c r="J138" s="22">
        <v>58</v>
      </c>
      <c r="K138" s="16">
        <f>$K$137</f>
        <v>0</v>
      </c>
      <c r="L138" s="21">
        <f t="shared" si="32"/>
        <v>1.1599999999999999</v>
      </c>
      <c r="M138" s="21">
        <f t="shared" ref="M138:M145" si="35">L138+J138</f>
        <v>59.16</v>
      </c>
      <c r="N138" s="21">
        <f t="shared" si="33"/>
        <v>0</v>
      </c>
    </row>
    <row r="139" spans="3:14" ht="14.1" customHeight="1" x14ac:dyDescent="0.2">
      <c r="C139" s="109">
        <v>0</v>
      </c>
      <c r="D139" s="5">
        <v>0.05</v>
      </c>
      <c r="E139" s="5">
        <v>0.2</v>
      </c>
      <c r="F139" s="46">
        <v>201</v>
      </c>
      <c r="G139" s="16">
        <f t="shared" ref="G139:G145" si="36">$G$137</f>
        <v>0</v>
      </c>
      <c r="H139" s="21">
        <f t="shared" si="34"/>
        <v>40.200000000000003</v>
      </c>
      <c r="I139" s="5">
        <v>0.05</v>
      </c>
      <c r="J139" s="22">
        <v>58</v>
      </c>
      <c r="K139" s="16">
        <f t="shared" ref="K139:K145" si="37">$K$137</f>
        <v>0</v>
      </c>
      <c r="L139" s="21">
        <f t="shared" si="32"/>
        <v>2.9000000000000004</v>
      </c>
      <c r="M139" s="21">
        <f t="shared" si="35"/>
        <v>60.9</v>
      </c>
      <c r="N139" s="21">
        <f t="shared" si="33"/>
        <v>0</v>
      </c>
    </row>
    <row r="140" spans="3:14" ht="14.1" customHeight="1" x14ac:dyDescent="0.2">
      <c r="C140" s="109">
        <v>0</v>
      </c>
      <c r="D140" s="5">
        <v>0.1</v>
      </c>
      <c r="E140" s="5">
        <v>0.3</v>
      </c>
      <c r="F140" s="46">
        <v>201</v>
      </c>
      <c r="G140" s="16">
        <f t="shared" si="36"/>
        <v>0</v>
      </c>
      <c r="H140" s="21">
        <f t="shared" si="34"/>
        <v>60.3</v>
      </c>
      <c r="I140" s="5">
        <v>0.1</v>
      </c>
      <c r="J140" s="22">
        <v>58</v>
      </c>
      <c r="K140" s="16">
        <f t="shared" si="37"/>
        <v>0</v>
      </c>
      <c r="L140" s="21">
        <f t="shared" si="32"/>
        <v>5.8000000000000007</v>
      </c>
      <c r="M140" s="21">
        <f t="shared" si="35"/>
        <v>63.8</v>
      </c>
      <c r="N140" s="21">
        <f t="shared" si="33"/>
        <v>0</v>
      </c>
    </row>
    <row r="141" spans="3:14" ht="14.1" customHeight="1" x14ac:dyDescent="0.2">
      <c r="C141" s="109">
        <v>0</v>
      </c>
      <c r="D141" s="5">
        <v>0.2</v>
      </c>
      <c r="E141" s="5">
        <v>0.6</v>
      </c>
      <c r="F141" s="46">
        <v>201</v>
      </c>
      <c r="G141" s="16">
        <f t="shared" si="36"/>
        <v>0</v>
      </c>
      <c r="H141" s="21">
        <f t="shared" si="34"/>
        <v>120.6</v>
      </c>
      <c r="I141" s="5">
        <v>0.2</v>
      </c>
      <c r="J141" s="22">
        <v>58</v>
      </c>
      <c r="K141" s="16">
        <f t="shared" si="37"/>
        <v>0</v>
      </c>
      <c r="L141" s="21">
        <f t="shared" si="32"/>
        <v>11.600000000000001</v>
      </c>
      <c r="M141" s="21">
        <f t="shared" si="35"/>
        <v>69.599999999999994</v>
      </c>
      <c r="N141" s="21">
        <f t="shared" si="33"/>
        <v>0</v>
      </c>
    </row>
    <row r="142" spans="3:14" ht="14.1" customHeight="1" x14ac:dyDescent="0.2">
      <c r="C142" s="109">
        <v>0</v>
      </c>
      <c r="D142" s="5">
        <v>0.3</v>
      </c>
      <c r="E142" s="5">
        <v>0.9</v>
      </c>
      <c r="F142" s="46">
        <v>201</v>
      </c>
      <c r="G142" s="16">
        <f t="shared" si="36"/>
        <v>0</v>
      </c>
      <c r="H142" s="21">
        <f t="shared" si="34"/>
        <v>180.9</v>
      </c>
      <c r="I142" s="5">
        <v>0.3</v>
      </c>
      <c r="J142" s="22">
        <v>58</v>
      </c>
      <c r="K142" s="16">
        <f t="shared" si="37"/>
        <v>0</v>
      </c>
      <c r="L142" s="21">
        <f t="shared" si="32"/>
        <v>17.399999999999999</v>
      </c>
      <c r="M142" s="21">
        <f t="shared" si="35"/>
        <v>75.400000000000006</v>
      </c>
      <c r="N142" s="21">
        <f t="shared" si="33"/>
        <v>0</v>
      </c>
    </row>
    <row r="143" spans="3:14" ht="14.1" customHeight="1" x14ac:dyDescent="0.2">
      <c r="C143" s="109">
        <v>0</v>
      </c>
      <c r="D143" s="5">
        <v>0.5</v>
      </c>
      <c r="E143" s="5">
        <v>1.5</v>
      </c>
      <c r="F143" s="46">
        <v>201</v>
      </c>
      <c r="G143" s="16">
        <f t="shared" si="36"/>
        <v>0</v>
      </c>
      <c r="H143" s="21">
        <f t="shared" si="34"/>
        <v>301.5</v>
      </c>
      <c r="I143" s="5">
        <v>0.5</v>
      </c>
      <c r="J143" s="22">
        <v>58</v>
      </c>
      <c r="K143" s="16">
        <f t="shared" si="37"/>
        <v>0</v>
      </c>
      <c r="L143" s="21">
        <f t="shared" si="32"/>
        <v>29</v>
      </c>
      <c r="M143" s="21">
        <f t="shared" si="35"/>
        <v>87</v>
      </c>
      <c r="N143" s="21">
        <f t="shared" si="33"/>
        <v>0</v>
      </c>
    </row>
    <row r="144" spans="3:14" ht="14.1" customHeight="1" x14ac:dyDescent="0.2">
      <c r="C144" s="109">
        <v>0</v>
      </c>
      <c r="D144" s="5">
        <v>0.75</v>
      </c>
      <c r="E144" s="5">
        <v>2.2999999999999998</v>
      </c>
      <c r="F144" s="46">
        <v>201</v>
      </c>
      <c r="G144" s="16">
        <f t="shared" si="36"/>
        <v>0</v>
      </c>
      <c r="H144" s="21">
        <f t="shared" si="34"/>
        <v>462.29999999999995</v>
      </c>
      <c r="I144" s="5">
        <v>0.75</v>
      </c>
      <c r="J144" s="22">
        <v>58</v>
      </c>
      <c r="K144" s="16">
        <f t="shared" si="37"/>
        <v>0</v>
      </c>
      <c r="L144" s="21">
        <f t="shared" si="32"/>
        <v>43.5</v>
      </c>
      <c r="M144" s="21">
        <f t="shared" si="35"/>
        <v>101.5</v>
      </c>
      <c r="N144" s="21">
        <f t="shared" si="33"/>
        <v>0</v>
      </c>
    </row>
    <row r="145" spans="3:14" ht="14.1" customHeight="1" x14ac:dyDescent="0.2">
      <c r="C145" s="109">
        <v>0</v>
      </c>
      <c r="D145" s="5">
        <v>1</v>
      </c>
      <c r="E145" s="5">
        <v>3</v>
      </c>
      <c r="F145" s="46">
        <v>201</v>
      </c>
      <c r="G145" s="16">
        <f t="shared" si="36"/>
        <v>0</v>
      </c>
      <c r="H145" s="21">
        <f t="shared" si="34"/>
        <v>603</v>
      </c>
      <c r="I145" s="5">
        <v>1</v>
      </c>
      <c r="J145" s="22">
        <v>58</v>
      </c>
      <c r="K145" s="16">
        <f t="shared" si="37"/>
        <v>0</v>
      </c>
      <c r="L145" s="44">
        <f t="shared" si="32"/>
        <v>58</v>
      </c>
      <c r="M145" s="44">
        <f t="shared" si="35"/>
        <v>116</v>
      </c>
      <c r="N145" s="44">
        <f t="shared" si="33"/>
        <v>0</v>
      </c>
    </row>
    <row r="146" spans="3:14" ht="14.1" customHeight="1" x14ac:dyDescent="0.2">
      <c r="L146" s="196" t="s">
        <v>12</v>
      </c>
      <c r="M146" s="196"/>
      <c r="N146" s="41">
        <f>SUM($N$137:$N$145)</f>
        <v>0</v>
      </c>
    </row>
    <row r="147" spans="3:14" ht="14.1" customHeight="1" x14ac:dyDescent="0.2">
      <c r="L147" s="196" t="s">
        <v>167</v>
      </c>
      <c r="M147" s="196"/>
      <c r="N147" s="93">
        <f>SUMPRODUCT(C137:C145,E137:E145)</f>
        <v>0</v>
      </c>
    </row>
    <row r="148" spans="3:14" ht="14.1" customHeight="1" x14ac:dyDescent="0.2">
      <c r="L148" s="196" t="s">
        <v>162</v>
      </c>
      <c r="M148" s="196"/>
      <c r="N148" s="93">
        <f>SUMPRODUCT(C137:C145,I137:I145)</f>
        <v>0</v>
      </c>
    </row>
    <row r="150" spans="3:14" ht="20.100000000000001" customHeight="1" x14ac:dyDescent="0.2">
      <c r="E150" s="194" t="s">
        <v>77</v>
      </c>
      <c r="F150" s="194"/>
      <c r="G150" s="194"/>
      <c r="H150" s="194"/>
      <c r="I150" s="194"/>
      <c r="J150" s="194"/>
      <c r="K150" s="194"/>
      <c r="L150" s="194"/>
    </row>
    <row r="151" spans="3:14" s="2" customFormat="1" ht="31.5" customHeight="1" x14ac:dyDescent="0.25">
      <c r="E151" s="189" t="s">
        <v>5</v>
      </c>
      <c r="F151" s="189" t="s">
        <v>62</v>
      </c>
      <c r="G151" s="235" t="s">
        <v>71</v>
      </c>
      <c r="H151" s="236"/>
      <c r="I151" s="236"/>
      <c r="J151" s="237"/>
      <c r="K151" s="230" t="s">
        <v>53</v>
      </c>
      <c r="L151" s="189" t="s">
        <v>53</v>
      </c>
    </row>
    <row r="152" spans="3:14" ht="14.1" customHeight="1" x14ac:dyDescent="0.2">
      <c r="E152" s="189"/>
      <c r="F152" s="189"/>
      <c r="G152" s="7" t="s">
        <v>1</v>
      </c>
      <c r="H152" s="7" t="s">
        <v>2</v>
      </c>
      <c r="I152" s="7" t="s">
        <v>3</v>
      </c>
      <c r="J152" s="7" t="s">
        <v>4</v>
      </c>
      <c r="K152" s="231"/>
      <c r="L152" s="189"/>
    </row>
    <row r="153" spans="3:14" ht="14.1" customHeight="1" x14ac:dyDescent="0.2">
      <c r="E153" s="109">
        <v>0</v>
      </c>
      <c r="F153" s="5">
        <v>0.01</v>
      </c>
      <c r="G153" s="5">
        <v>0.1</v>
      </c>
      <c r="H153" s="21">
        <v>201</v>
      </c>
      <c r="I153" s="110">
        <v>0</v>
      </c>
      <c r="J153" s="21">
        <f t="shared" ref="J153:J161" si="38">H153*(1-I153)*G153</f>
        <v>20.100000000000001</v>
      </c>
      <c r="K153" s="21">
        <f>J153</f>
        <v>20.100000000000001</v>
      </c>
      <c r="L153" s="21">
        <f t="shared" ref="L153:L161" si="39">K153*E153</f>
        <v>0</v>
      </c>
    </row>
    <row r="154" spans="3:14" ht="14.1" customHeight="1" x14ac:dyDescent="0.2">
      <c r="E154" s="109">
        <v>0</v>
      </c>
      <c r="F154" s="5">
        <v>0.02</v>
      </c>
      <c r="G154" s="5">
        <v>0.1</v>
      </c>
      <c r="H154" s="46">
        <v>201</v>
      </c>
      <c r="I154" s="16">
        <f>$I$153</f>
        <v>0</v>
      </c>
      <c r="J154" s="21">
        <f t="shared" si="38"/>
        <v>20.100000000000001</v>
      </c>
      <c r="K154" s="21">
        <f t="shared" ref="K154:K161" si="40">J154</f>
        <v>20.100000000000001</v>
      </c>
      <c r="L154" s="21">
        <f t="shared" si="39"/>
        <v>0</v>
      </c>
    </row>
    <row r="155" spans="3:14" ht="14.1" customHeight="1" x14ac:dyDescent="0.2">
      <c r="E155" s="109">
        <v>0</v>
      </c>
      <c r="F155" s="5">
        <v>0.05</v>
      </c>
      <c r="G155" s="5">
        <v>0.2</v>
      </c>
      <c r="H155" s="46">
        <v>201</v>
      </c>
      <c r="I155" s="16">
        <f t="shared" ref="I155:I161" si="41">$I$153</f>
        <v>0</v>
      </c>
      <c r="J155" s="21">
        <f t="shared" si="38"/>
        <v>40.200000000000003</v>
      </c>
      <c r="K155" s="21">
        <f t="shared" si="40"/>
        <v>40.200000000000003</v>
      </c>
      <c r="L155" s="21">
        <f t="shared" si="39"/>
        <v>0</v>
      </c>
    </row>
    <row r="156" spans="3:14" ht="14.1" customHeight="1" x14ac:dyDescent="0.2">
      <c r="E156" s="109">
        <v>0</v>
      </c>
      <c r="F156" s="5">
        <v>0.1</v>
      </c>
      <c r="G156" s="5">
        <v>0.3</v>
      </c>
      <c r="H156" s="46">
        <v>201</v>
      </c>
      <c r="I156" s="16">
        <f t="shared" si="41"/>
        <v>0</v>
      </c>
      <c r="J156" s="21">
        <f t="shared" si="38"/>
        <v>60.3</v>
      </c>
      <c r="K156" s="21">
        <f t="shared" si="40"/>
        <v>60.3</v>
      </c>
      <c r="L156" s="21">
        <f t="shared" si="39"/>
        <v>0</v>
      </c>
    </row>
    <row r="157" spans="3:14" ht="14.1" customHeight="1" x14ac:dyDescent="0.2">
      <c r="E157" s="109">
        <v>0</v>
      </c>
      <c r="F157" s="5">
        <v>0.2</v>
      </c>
      <c r="G157" s="5">
        <v>0.6</v>
      </c>
      <c r="H157" s="46">
        <v>201</v>
      </c>
      <c r="I157" s="16">
        <f t="shared" si="41"/>
        <v>0</v>
      </c>
      <c r="J157" s="21">
        <f t="shared" si="38"/>
        <v>120.6</v>
      </c>
      <c r="K157" s="21">
        <f t="shared" si="40"/>
        <v>120.6</v>
      </c>
      <c r="L157" s="21">
        <f t="shared" si="39"/>
        <v>0</v>
      </c>
    </row>
    <row r="158" spans="3:14" ht="14.1" customHeight="1" x14ac:dyDescent="0.2">
      <c r="E158" s="109">
        <v>0</v>
      </c>
      <c r="F158" s="5">
        <v>0.3</v>
      </c>
      <c r="G158" s="5">
        <v>0.9</v>
      </c>
      <c r="H158" s="46">
        <v>201</v>
      </c>
      <c r="I158" s="16">
        <f t="shared" si="41"/>
        <v>0</v>
      </c>
      <c r="J158" s="21">
        <f t="shared" si="38"/>
        <v>180.9</v>
      </c>
      <c r="K158" s="21">
        <f t="shared" si="40"/>
        <v>180.9</v>
      </c>
      <c r="L158" s="21">
        <f t="shared" si="39"/>
        <v>0</v>
      </c>
    </row>
    <row r="159" spans="3:14" ht="14.1" customHeight="1" x14ac:dyDescent="0.2">
      <c r="E159" s="109">
        <v>0</v>
      </c>
      <c r="F159" s="5">
        <v>0.5</v>
      </c>
      <c r="G159" s="5">
        <v>1.5</v>
      </c>
      <c r="H159" s="46">
        <v>201</v>
      </c>
      <c r="I159" s="16">
        <f t="shared" si="41"/>
        <v>0</v>
      </c>
      <c r="J159" s="21">
        <f t="shared" si="38"/>
        <v>301.5</v>
      </c>
      <c r="K159" s="21">
        <f t="shared" si="40"/>
        <v>301.5</v>
      </c>
      <c r="L159" s="21">
        <f t="shared" si="39"/>
        <v>0</v>
      </c>
    </row>
    <row r="160" spans="3:14" ht="14.1" customHeight="1" x14ac:dyDescent="0.2">
      <c r="E160" s="109">
        <v>0</v>
      </c>
      <c r="F160" s="5">
        <v>0.75</v>
      </c>
      <c r="G160" s="5">
        <v>2.2999999999999998</v>
      </c>
      <c r="H160" s="46">
        <v>201</v>
      </c>
      <c r="I160" s="16">
        <f t="shared" si="41"/>
        <v>0</v>
      </c>
      <c r="J160" s="21">
        <f t="shared" si="38"/>
        <v>462.29999999999995</v>
      </c>
      <c r="K160" s="21">
        <f t="shared" si="40"/>
        <v>462.29999999999995</v>
      </c>
      <c r="L160" s="21">
        <f t="shared" si="39"/>
        <v>0</v>
      </c>
    </row>
    <row r="161" spans="1:16" ht="14.1" customHeight="1" x14ac:dyDescent="0.2">
      <c r="E161" s="109">
        <v>0</v>
      </c>
      <c r="F161" s="5">
        <v>1</v>
      </c>
      <c r="G161" s="5">
        <v>3</v>
      </c>
      <c r="H161" s="46">
        <v>201</v>
      </c>
      <c r="I161" s="16">
        <f t="shared" si="41"/>
        <v>0</v>
      </c>
      <c r="J161" s="44">
        <f t="shared" si="38"/>
        <v>603</v>
      </c>
      <c r="K161" s="44">
        <f t="shared" si="40"/>
        <v>603</v>
      </c>
      <c r="L161" s="44">
        <f t="shared" si="39"/>
        <v>0</v>
      </c>
    </row>
    <row r="162" spans="1:16" ht="14.1" customHeight="1" x14ac:dyDescent="0.2">
      <c r="J162" s="196" t="s">
        <v>12</v>
      </c>
      <c r="K162" s="196"/>
      <c r="L162" s="41">
        <f>SUM(L153:L161)</f>
        <v>0</v>
      </c>
    </row>
    <row r="163" spans="1:16" ht="14.1" customHeight="1" x14ac:dyDescent="0.2">
      <c r="J163" s="196" t="s">
        <v>167</v>
      </c>
      <c r="K163" s="196"/>
      <c r="L163" s="94">
        <f>SUMPRODUCT(E153:E161,G153:G161)</f>
        <v>0</v>
      </c>
    </row>
    <row r="166" spans="1:16" ht="14.1" customHeight="1" x14ac:dyDescent="0.25">
      <c r="B166" s="214" t="s">
        <v>224</v>
      </c>
      <c r="C166" s="214"/>
      <c r="D166" s="214"/>
    </row>
    <row r="168" spans="1:16" s="57" customFormat="1" ht="43.5" customHeight="1" x14ac:dyDescent="0.3">
      <c r="A168" s="248" t="s">
        <v>215</v>
      </c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</row>
    <row r="170" spans="1:16" ht="14.1" customHeight="1" x14ac:dyDescent="0.2">
      <c r="J170" s="192" t="s">
        <v>54</v>
      </c>
      <c r="K170" s="192"/>
      <c r="L170" s="192"/>
      <c r="M170" s="192"/>
    </row>
    <row r="171" spans="1:16" ht="14.1" customHeight="1" x14ac:dyDescent="0.2">
      <c r="J171" s="23" t="s">
        <v>58</v>
      </c>
      <c r="K171" s="23"/>
      <c r="L171" s="23"/>
      <c r="M171" s="23"/>
    </row>
    <row r="172" spans="1:16" ht="14.1" customHeight="1" x14ac:dyDescent="0.2">
      <c r="J172" s="23" t="s">
        <v>10</v>
      </c>
      <c r="K172" s="23"/>
      <c r="L172" s="23"/>
      <c r="M172" s="23"/>
    </row>
    <row r="173" spans="1:16" ht="14.1" customHeight="1" x14ac:dyDescent="0.2">
      <c r="J173" s="192" t="s">
        <v>59</v>
      </c>
      <c r="K173" s="192"/>
      <c r="L173" s="192"/>
      <c r="M173" s="192"/>
    </row>
    <row r="176" spans="1:16" ht="20.100000000000001" customHeight="1" x14ac:dyDescent="0.2">
      <c r="C176" s="194" t="s">
        <v>219</v>
      </c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</row>
    <row r="177" spans="2:14" ht="28.5" customHeight="1" x14ac:dyDescent="0.2">
      <c r="C177" s="189" t="s">
        <v>5</v>
      </c>
      <c r="D177" s="189" t="s">
        <v>187</v>
      </c>
      <c r="E177" s="221" t="s">
        <v>188</v>
      </c>
      <c r="F177" s="221"/>
      <c r="G177" s="221"/>
      <c r="H177" s="189" t="s">
        <v>185</v>
      </c>
      <c r="I177" s="189" t="s">
        <v>197</v>
      </c>
      <c r="J177" s="221" t="s">
        <v>117</v>
      </c>
      <c r="K177" s="221"/>
      <c r="L177" s="221"/>
      <c r="M177" s="221"/>
      <c r="N177" s="189" t="s">
        <v>178</v>
      </c>
    </row>
    <row r="178" spans="2:14" ht="39.75" customHeight="1" x14ac:dyDescent="0.2">
      <c r="C178" s="189"/>
      <c r="D178" s="221"/>
      <c r="E178" s="80" t="s">
        <v>173</v>
      </c>
      <c r="F178" s="80" t="s">
        <v>174</v>
      </c>
      <c r="G178" s="78" t="s">
        <v>186</v>
      </c>
      <c r="H178" s="189"/>
      <c r="I178" s="189"/>
      <c r="J178" s="78" t="s">
        <v>1</v>
      </c>
      <c r="K178" s="78" t="s">
        <v>2</v>
      </c>
      <c r="L178" s="78" t="s">
        <v>3</v>
      </c>
      <c r="M178" s="78" t="s">
        <v>4</v>
      </c>
      <c r="N178" s="189"/>
    </row>
    <row r="179" spans="2:14" ht="14.1" customHeight="1" x14ac:dyDescent="0.2">
      <c r="C179" s="109">
        <v>0</v>
      </c>
      <c r="D179" s="115">
        <v>0</v>
      </c>
      <c r="E179" s="115">
        <v>0</v>
      </c>
      <c r="F179" s="115">
        <v>0</v>
      </c>
      <c r="G179" s="115">
        <v>0</v>
      </c>
      <c r="H179" s="67">
        <f>((E179*F179*G179)/1000)-((PI()*(D179/2)^2)/100)*(G179/10)</f>
        <v>0</v>
      </c>
      <c r="I179" s="15">
        <v>38</v>
      </c>
      <c r="J179" s="20">
        <f>(H179/(I179*1000))</f>
        <v>0</v>
      </c>
      <c r="K179" s="11">
        <v>89</v>
      </c>
      <c r="L179" s="113">
        <v>0</v>
      </c>
      <c r="M179" s="11">
        <f>K179*(1-L179)</f>
        <v>89</v>
      </c>
      <c r="N179" s="11">
        <f>(K179*(1-L179)*J179)*C179</f>
        <v>0</v>
      </c>
    </row>
    <row r="180" spans="2:14" ht="14.1" customHeight="1" x14ac:dyDescent="0.2">
      <c r="C180" s="109">
        <v>0</v>
      </c>
      <c r="D180" s="115">
        <v>0</v>
      </c>
      <c r="E180" s="115">
        <v>0</v>
      </c>
      <c r="F180" s="115">
        <v>0</v>
      </c>
      <c r="G180" s="115">
        <v>0</v>
      </c>
      <c r="H180" s="67">
        <f t="shared" ref="H180:H183" si="42">((E180*F180*G180)/1000)-((PI()*(D180/2)^2)/100)*(G180/10)</f>
        <v>0</v>
      </c>
      <c r="I180" s="15">
        <v>38</v>
      </c>
      <c r="J180" s="20">
        <f t="shared" ref="J180:J183" si="43">(H180/(I180*1000))</f>
        <v>0</v>
      </c>
      <c r="K180" s="11">
        <v>89</v>
      </c>
      <c r="L180" s="17">
        <f>$L$179</f>
        <v>0</v>
      </c>
      <c r="M180" s="11">
        <f t="shared" ref="M180:M183" si="44">K180*(1-L180)</f>
        <v>89</v>
      </c>
      <c r="N180" s="11">
        <f t="shared" ref="N180:N183" si="45">(K180*(1-L180)*J180)*C180</f>
        <v>0</v>
      </c>
    </row>
    <row r="181" spans="2:14" ht="14.1" customHeight="1" x14ac:dyDescent="0.2">
      <c r="C181" s="109">
        <v>0</v>
      </c>
      <c r="D181" s="115">
        <v>0</v>
      </c>
      <c r="E181" s="115">
        <v>0</v>
      </c>
      <c r="F181" s="115">
        <v>0</v>
      </c>
      <c r="G181" s="115">
        <v>0</v>
      </c>
      <c r="H181" s="67">
        <f t="shared" si="42"/>
        <v>0</v>
      </c>
      <c r="I181" s="15">
        <v>38</v>
      </c>
      <c r="J181" s="20">
        <f t="shared" si="43"/>
        <v>0</v>
      </c>
      <c r="K181" s="11">
        <v>89</v>
      </c>
      <c r="L181" s="17">
        <f t="shared" ref="L181:L183" si="46">$L$179</f>
        <v>0</v>
      </c>
      <c r="M181" s="11">
        <f t="shared" si="44"/>
        <v>89</v>
      </c>
      <c r="N181" s="11">
        <f t="shared" si="45"/>
        <v>0</v>
      </c>
    </row>
    <row r="182" spans="2:14" ht="14.1" customHeight="1" x14ac:dyDescent="0.2">
      <c r="C182" s="109">
        <v>0</v>
      </c>
      <c r="D182" s="115">
        <v>0</v>
      </c>
      <c r="E182" s="115">
        <v>0</v>
      </c>
      <c r="F182" s="115">
        <v>0</v>
      </c>
      <c r="G182" s="115">
        <v>0</v>
      </c>
      <c r="H182" s="67">
        <f t="shared" si="42"/>
        <v>0</v>
      </c>
      <c r="I182" s="15">
        <v>38</v>
      </c>
      <c r="J182" s="20">
        <f t="shared" si="43"/>
        <v>0</v>
      </c>
      <c r="K182" s="11">
        <v>89</v>
      </c>
      <c r="L182" s="17">
        <f t="shared" si="46"/>
        <v>0</v>
      </c>
      <c r="M182" s="11">
        <f t="shared" si="44"/>
        <v>89</v>
      </c>
      <c r="N182" s="11">
        <f t="shared" si="45"/>
        <v>0</v>
      </c>
    </row>
    <row r="183" spans="2:14" ht="14.1" customHeight="1" x14ac:dyDescent="0.2">
      <c r="C183" s="109">
        <v>0</v>
      </c>
      <c r="D183" s="115">
        <v>0</v>
      </c>
      <c r="E183" s="115">
        <v>0</v>
      </c>
      <c r="F183" s="115">
        <v>0</v>
      </c>
      <c r="G183" s="115">
        <v>0</v>
      </c>
      <c r="H183" s="67">
        <f t="shared" si="42"/>
        <v>0</v>
      </c>
      <c r="I183" s="15">
        <v>38</v>
      </c>
      <c r="J183" s="20">
        <f t="shared" si="43"/>
        <v>0</v>
      </c>
      <c r="K183" s="11">
        <v>89</v>
      </c>
      <c r="L183" s="17">
        <f t="shared" si="46"/>
        <v>0</v>
      </c>
      <c r="M183" s="11">
        <f t="shared" si="44"/>
        <v>89</v>
      </c>
      <c r="N183" s="11">
        <f t="shared" si="45"/>
        <v>0</v>
      </c>
    </row>
    <row r="184" spans="2:14" ht="14.1" customHeight="1" x14ac:dyDescent="0.2">
      <c r="L184" s="216" t="s">
        <v>12</v>
      </c>
      <c r="M184" s="217"/>
      <c r="N184" s="41">
        <f>SUM(N179:N183)</f>
        <v>0</v>
      </c>
    </row>
    <row r="185" spans="2:14" ht="14.1" customHeight="1" x14ac:dyDescent="0.2">
      <c r="L185" s="216" t="s">
        <v>180</v>
      </c>
      <c r="M185" s="217"/>
      <c r="N185" s="94">
        <f>SUM(J179:J183)</f>
        <v>0</v>
      </c>
    </row>
    <row r="187" spans="2:14" ht="14.1" customHeight="1" x14ac:dyDescent="0.25">
      <c r="B187" s="214" t="s">
        <v>224</v>
      </c>
      <c r="C187" s="214"/>
      <c r="D187" s="214"/>
    </row>
  </sheetData>
  <sheetProtection password="8959" sheet="1" objects="1" scenarios="1"/>
  <mergeCells count="134">
    <mergeCell ref="C76:N76"/>
    <mergeCell ref="B19:E19"/>
    <mergeCell ref="I12:K13"/>
    <mergeCell ref="M12:M13"/>
    <mergeCell ref="A168:P168"/>
    <mergeCell ref="D177:D178"/>
    <mergeCell ref="E177:G177"/>
    <mergeCell ref="H177:H178"/>
    <mergeCell ref="N177:N178"/>
    <mergeCell ref="J170:M170"/>
    <mergeCell ref="J173:M173"/>
    <mergeCell ref="J177:M177"/>
    <mergeCell ref="B32:B33"/>
    <mergeCell ref="B31:O31"/>
    <mergeCell ref="J27:M27"/>
    <mergeCell ref="D32:G32"/>
    <mergeCell ref="C32:C33"/>
    <mergeCell ref="D77:D78"/>
    <mergeCell ref="E73:G73"/>
    <mergeCell ref="E74:G74"/>
    <mergeCell ref="M60:N60"/>
    <mergeCell ref="M61:N61"/>
    <mergeCell ref="H32:K32"/>
    <mergeCell ref="L32:L33"/>
    <mergeCell ref="B47:O47"/>
    <mergeCell ref="B48:B49"/>
    <mergeCell ref="C48:C49"/>
    <mergeCell ref="D48:G48"/>
    <mergeCell ref="H48:K48"/>
    <mergeCell ref="L48:L49"/>
    <mergeCell ref="M48:M49"/>
    <mergeCell ref="N48:N49"/>
    <mergeCell ref="O48:O49"/>
    <mergeCell ref="B8:E8"/>
    <mergeCell ref="B9:E9"/>
    <mergeCell ref="B10:E10"/>
    <mergeCell ref="B11:E11"/>
    <mergeCell ref="I9:K9"/>
    <mergeCell ref="A21:P21"/>
    <mergeCell ref="J23:M23"/>
    <mergeCell ref="J24:M24"/>
    <mergeCell ref="J25:M25"/>
    <mergeCell ref="B12:E12"/>
    <mergeCell ref="B16:E16"/>
    <mergeCell ref="B17:E17"/>
    <mergeCell ref="B18:E18"/>
    <mergeCell ref="I10:K11"/>
    <mergeCell ref="M10:M11"/>
    <mergeCell ref="I14:K14"/>
    <mergeCell ref="G19:H19"/>
    <mergeCell ref="J163:K163"/>
    <mergeCell ref="L146:M146"/>
    <mergeCell ref="L147:M147"/>
    <mergeCell ref="E151:E152"/>
    <mergeCell ref="F151:F152"/>
    <mergeCell ref="G151:J151"/>
    <mergeCell ref="L151:L152"/>
    <mergeCell ref="E150:L150"/>
    <mergeCell ref="L117:M117"/>
    <mergeCell ref="L118:M118"/>
    <mergeCell ref="A123:P123"/>
    <mergeCell ref="C134:N134"/>
    <mergeCell ref="C135:C136"/>
    <mergeCell ref="D135:D136"/>
    <mergeCell ref="E135:H135"/>
    <mergeCell ref="I135:L135"/>
    <mergeCell ref="J129:M129"/>
    <mergeCell ref="M135:M136"/>
    <mergeCell ref="N135:N136"/>
    <mergeCell ref="C130:D130"/>
    <mergeCell ref="E131:G131"/>
    <mergeCell ref="E132:G132"/>
    <mergeCell ref="J126:M126"/>
    <mergeCell ref="J127:M127"/>
    <mergeCell ref="M45:N45"/>
    <mergeCell ref="M44:N44"/>
    <mergeCell ref="K68:N68"/>
    <mergeCell ref="B24:D24"/>
    <mergeCell ref="K151:K152"/>
    <mergeCell ref="J162:K162"/>
    <mergeCell ref="B27:C27"/>
    <mergeCell ref="A66:P66"/>
    <mergeCell ref="J128:M128"/>
    <mergeCell ref="C106:N106"/>
    <mergeCell ref="C107:C108"/>
    <mergeCell ref="D107:D108"/>
    <mergeCell ref="E107:H107"/>
    <mergeCell ref="I107:L107"/>
    <mergeCell ref="M107:M108"/>
    <mergeCell ref="N107:N108"/>
    <mergeCell ref="L89:M89"/>
    <mergeCell ref="L104:M104"/>
    <mergeCell ref="L119:M119"/>
    <mergeCell ref="L148:M148"/>
    <mergeCell ref="M32:M33"/>
    <mergeCell ref="N32:N33"/>
    <mergeCell ref="O32:O33"/>
    <mergeCell ref="J26:M26"/>
    <mergeCell ref="C91:N91"/>
    <mergeCell ref="C92:C93"/>
    <mergeCell ref="D92:D93"/>
    <mergeCell ref="E92:H92"/>
    <mergeCell ref="I92:L92"/>
    <mergeCell ref="M92:M93"/>
    <mergeCell ref="N92:N93"/>
    <mergeCell ref="C77:C78"/>
    <mergeCell ref="E77:H77"/>
    <mergeCell ref="I77:L77"/>
    <mergeCell ref="M77:M78"/>
    <mergeCell ref="N77:N78"/>
    <mergeCell ref="B64:D64"/>
    <mergeCell ref="B121:D121"/>
    <mergeCell ref="B166:D166"/>
    <mergeCell ref="B187:D187"/>
    <mergeCell ref="B15:F15"/>
    <mergeCell ref="B14:F14"/>
    <mergeCell ref="B13:F13"/>
    <mergeCell ref="L185:M185"/>
    <mergeCell ref="L184:M184"/>
    <mergeCell ref="C177:C178"/>
    <mergeCell ref="I177:I178"/>
    <mergeCell ref="C176:N176"/>
    <mergeCell ref="B28:C28"/>
    <mergeCell ref="B29:C29"/>
    <mergeCell ref="K69:N69"/>
    <mergeCell ref="K70:N70"/>
    <mergeCell ref="K71:N71"/>
    <mergeCell ref="K72:N72"/>
    <mergeCell ref="J125:M125"/>
    <mergeCell ref="C72:D72"/>
    <mergeCell ref="L87:M87"/>
    <mergeCell ref="L88:M88"/>
    <mergeCell ref="L102:M102"/>
    <mergeCell ref="L103:M103"/>
  </mergeCells>
  <dataValidations disablePrompts="1" count="2">
    <dataValidation type="decimal" allowBlank="1" showInputMessage="1" showErrorMessage="1" prompt="Max. wartość 60%_x000a_" sqref="F34">
      <formula1>0</formula1>
      <formula2>0.6</formula2>
    </dataValidation>
    <dataValidation type="decimal" allowBlank="1" showInputMessage="1" showErrorMessage="1" sqref="J34">
      <formula1>0</formula1>
      <formula2>0.6</formula2>
    </dataValidation>
  </dataValidations>
  <hyperlinks>
    <hyperlink ref="B9:E9" location="'RURY NIEPALNE'!A46" display="ALFA MASTIC 310 ml"/>
    <hyperlink ref="B14:E14" location="'RURY NIEPALNE'!A105" display="uszczelnienie 1stronne, płyta malowana 2stronnie"/>
    <hyperlink ref="B15:E15" location="'RURY NIEPALNE'!A123" display="uszczelnienie 2stronne, płyta malowana 2stronnie"/>
    <hyperlink ref="B16:E16" location="'RURY NIEPALNE'!A149" display="ALFA MORTAR "/>
    <hyperlink ref="B17:E17" location="'RURY NIEPALNE'!A149" display="uszczelnienie 50mm"/>
    <hyperlink ref="B18:E18" location="'RURY NIEPALNE'!A168" display="uszczelnienie 100mm"/>
    <hyperlink ref="B19:E19" location="'RURY NIEPALNE'!A188" display="ALFA FIREFOAM PREMIUM"/>
    <hyperlink ref="B13:E13" location="'RURY NIEPALNE'!A90" display="uszczelnienie 1stronne, płyta malowana 1stronnie"/>
    <hyperlink ref="B12:E12" location="'RURY NIEPALNE'!A90" display="ALFA COAT+ROCKLIT"/>
    <hyperlink ref="B11:E11" location="'RURY NIEPALNE'!A66" display="uszczelnienie 30mm"/>
    <hyperlink ref="B10:E10" location="'RURY NIEPALNE'!A46" display="uszczelnienie 10mm"/>
    <hyperlink ref="B64" location="'RURY NIEPALNE'!A1" display="POWRÓT DO WYBORU SYSTEMU"/>
    <hyperlink ref="B121" location="'RURY NIEPALNE'!A1" display="POWRÓT DO WYBORU SYSTEMU"/>
    <hyperlink ref="B166" location="'RURY NIEPALNE'!A1" display="POWRÓT DO WYBORU SYSTEMU"/>
    <hyperlink ref="B187" location="'RURY NIEPALNE'!A1" display="POWRÓT DO WYBORU SYSTEMU"/>
    <hyperlink ref="G19:H19" location="SYSTEMY!A1" display="MENU GŁÓWN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5" fitToHeight="0" orientation="landscape" cellComments="atEnd" r:id="rId1"/>
  <headerFooter>
    <oddFooter>&amp;A</oddFooter>
  </headerFooter>
  <rowBreaks count="5" manualBreakCount="5">
    <brk id="20" max="16383" man="1"/>
    <brk id="65" max="84" man="1"/>
    <brk id="105" max="16383" man="1"/>
    <brk id="122" max="16383" man="1"/>
    <brk id="167" max="84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Przycisk 1">
              <controlPr defaultSize="0" print="0" autoFill="0" autoPict="0" macro="[0]!PDF_2">
                <anchor moveWithCells="1" sizeWithCells="1">
                  <from>
                    <xdr:col>13</xdr:col>
                    <xdr:colOff>361950</xdr:colOff>
                    <xdr:row>15</xdr:row>
                    <xdr:rowOff>171450</xdr:rowOff>
                  </from>
                  <to>
                    <xdr:col>15</xdr:col>
                    <xdr:colOff>133350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3">
    <tabColor theme="7" tint="-0.249977111117893"/>
    <pageSetUpPr fitToPage="1"/>
  </sheetPr>
  <dimension ref="A1:P99"/>
  <sheetViews>
    <sheetView showGridLines="0" zoomScale="70" zoomScaleNormal="70" workbookViewId="0">
      <selection sqref="A1:P91"/>
    </sheetView>
  </sheetViews>
  <sheetFormatPr defaultColWidth="0" defaultRowHeight="14.1" customHeight="1" x14ac:dyDescent="0.25"/>
  <cols>
    <col min="1" max="1" width="9.140625" style="45" customWidth="1"/>
    <col min="2" max="4" width="11.7109375" style="45" customWidth="1"/>
    <col min="5" max="5" width="11.85546875" style="45" customWidth="1"/>
    <col min="6" max="6" width="12.85546875" style="45" customWidth="1"/>
    <col min="7" max="7" width="11.7109375" style="45" customWidth="1"/>
    <col min="8" max="8" width="10.5703125" style="45" customWidth="1"/>
    <col min="9" max="10" width="9.140625" style="45" customWidth="1"/>
    <col min="11" max="11" width="10.7109375" style="45" customWidth="1"/>
    <col min="12" max="12" width="12.7109375" style="45" customWidth="1"/>
    <col min="13" max="13" width="12.85546875" style="45" customWidth="1"/>
    <col min="14" max="14" width="11.42578125" style="45" customWidth="1"/>
    <col min="15" max="15" width="12.28515625" style="45" customWidth="1"/>
    <col min="16" max="16" width="9.140625" style="45" customWidth="1"/>
    <col min="17" max="16384" width="9.140625" style="45" hidden="1"/>
  </cols>
  <sheetData>
    <row r="1" spans="1:13" ht="14.1" customHeight="1" x14ac:dyDescent="0.3">
      <c r="A1" s="12"/>
      <c r="B1" s="2"/>
      <c r="C1" s="12"/>
      <c r="D1" s="12"/>
      <c r="E1" s="12"/>
      <c r="F1" s="12"/>
      <c r="G1" s="2"/>
      <c r="H1" s="2"/>
    </row>
    <row r="2" spans="1:13" ht="14.1" customHeight="1" x14ac:dyDescent="0.3">
      <c r="A2" s="12"/>
      <c r="B2" s="2"/>
      <c r="C2" s="12"/>
      <c r="D2" s="12"/>
      <c r="E2" s="12"/>
      <c r="F2" s="12"/>
      <c r="G2" s="2"/>
      <c r="H2" s="2"/>
    </row>
    <row r="3" spans="1:13" ht="14.1" customHeight="1" x14ac:dyDescent="0.3">
      <c r="A3" s="12"/>
      <c r="B3" s="2"/>
      <c r="C3" s="12"/>
      <c r="D3" s="12"/>
      <c r="E3" s="12"/>
      <c r="F3" s="12"/>
      <c r="G3" s="2"/>
      <c r="H3" s="2"/>
    </row>
    <row r="4" spans="1:13" ht="14.1" customHeight="1" x14ac:dyDescent="0.3">
      <c r="A4" s="12"/>
      <c r="B4" s="2"/>
      <c r="C4" s="12"/>
      <c r="D4" s="12"/>
      <c r="E4" s="12"/>
      <c r="F4" s="12"/>
      <c r="G4" s="2"/>
      <c r="H4" s="2"/>
    </row>
    <row r="5" spans="1:13" ht="14.1" customHeight="1" x14ac:dyDescent="0.3">
      <c r="A5" s="12"/>
      <c r="B5" s="2"/>
      <c r="C5" s="12"/>
      <c r="D5" s="12"/>
      <c r="E5" s="12"/>
      <c r="F5" s="12"/>
      <c r="G5" s="2"/>
      <c r="H5" s="2"/>
    </row>
    <row r="6" spans="1:13" ht="14.1" customHeight="1" x14ac:dyDescent="0.3">
      <c r="A6" s="12"/>
      <c r="B6" s="2"/>
      <c r="C6" s="12"/>
      <c r="D6" s="12"/>
      <c r="E6" s="12"/>
      <c r="F6" s="12"/>
      <c r="G6" s="2"/>
      <c r="H6" s="2"/>
    </row>
    <row r="7" spans="1:13" ht="14.1" customHeight="1" x14ac:dyDescent="0.3">
      <c r="A7" s="122"/>
      <c r="B7" s="2"/>
      <c r="C7" s="122"/>
      <c r="D7" s="122"/>
      <c r="E7" s="122"/>
      <c r="F7" s="122"/>
      <c r="G7" s="2"/>
      <c r="H7" s="2"/>
    </row>
    <row r="8" spans="1:13" ht="15.75" customHeight="1" x14ac:dyDescent="0.25">
      <c r="A8" s="122"/>
      <c r="B8" s="2"/>
      <c r="C8" s="122"/>
      <c r="D8" s="122"/>
      <c r="E8" s="122"/>
      <c r="F8" s="122"/>
      <c r="G8" s="2"/>
      <c r="H8" s="2"/>
      <c r="K8" s="12"/>
      <c r="L8" s="59" t="s">
        <v>5</v>
      </c>
      <c r="M8" s="59" t="s">
        <v>41</v>
      </c>
    </row>
    <row r="9" spans="1:13" ht="15.75" customHeight="1" x14ac:dyDescent="0.3">
      <c r="A9" s="12"/>
      <c r="B9" s="2"/>
      <c r="C9" s="12"/>
      <c r="D9" s="12"/>
      <c r="E9" s="12"/>
      <c r="F9" s="12"/>
      <c r="G9" s="2"/>
      <c r="H9" s="2"/>
      <c r="I9" s="191" t="s">
        <v>80</v>
      </c>
      <c r="J9" s="191"/>
      <c r="K9" s="191"/>
      <c r="L9" s="99">
        <f>N33</f>
        <v>0</v>
      </c>
      <c r="M9" s="86">
        <f>N32</f>
        <v>0</v>
      </c>
    </row>
    <row r="10" spans="1:13" ht="15.75" customHeight="1" x14ac:dyDescent="0.25">
      <c r="A10" s="12"/>
      <c r="B10" s="263" t="s">
        <v>40</v>
      </c>
      <c r="C10" s="263"/>
      <c r="D10" s="263"/>
      <c r="E10" s="263"/>
      <c r="I10" s="243" t="s">
        <v>169</v>
      </c>
      <c r="J10" s="243"/>
      <c r="K10" s="243"/>
      <c r="L10" s="99">
        <f>N57</f>
        <v>0</v>
      </c>
      <c r="M10" s="244">
        <f>N56</f>
        <v>0</v>
      </c>
    </row>
    <row r="11" spans="1:13" ht="15.75" customHeight="1" x14ac:dyDescent="0.25">
      <c r="A11" s="12"/>
      <c r="B11" s="264" t="s">
        <v>80</v>
      </c>
      <c r="C11" s="264"/>
      <c r="D11" s="264"/>
      <c r="E11" s="264"/>
      <c r="I11" s="243"/>
      <c r="J11" s="243"/>
      <c r="K11" s="243"/>
      <c r="L11" s="99">
        <f>N58</f>
        <v>0</v>
      </c>
      <c r="M11" s="244"/>
    </row>
    <row r="12" spans="1:13" ht="15.75" customHeight="1" x14ac:dyDescent="0.25">
      <c r="A12" s="12"/>
      <c r="B12" s="265" t="s">
        <v>116</v>
      </c>
      <c r="C12" s="265"/>
      <c r="D12" s="265"/>
      <c r="E12" s="265"/>
      <c r="I12" s="257" t="s">
        <v>222</v>
      </c>
      <c r="J12" s="258"/>
      <c r="K12" s="259"/>
      <c r="L12" s="101">
        <f>M79+O88</f>
        <v>0</v>
      </c>
      <c r="M12" s="244">
        <f>M78+O87</f>
        <v>0</v>
      </c>
    </row>
    <row r="13" spans="1:13" ht="15.75" customHeight="1" x14ac:dyDescent="0.25">
      <c r="A13" s="12"/>
      <c r="B13" s="265" t="s">
        <v>117</v>
      </c>
      <c r="C13" s="265"/>
      <c r="D13" s="265"/>
      <c r="E13" s="265"/>
      <c r="I13" s="260"/>
      <c r="J13" s="261"/>
      <c r="K13" s="262"/>
      <c r="L13" s="102">
        <f>O89</f>
        <v>0</v>
      </c>
      <c r="M13" s="244"/>
    </row>
    <row r="14" spans="1:13" ht="15.75" customHeight="1" x14ac:dyDescent="0.3">
      <c r="A14" s="12"/>
      <c r="B14" s="61"/>
      <c r="C14" s="61"/>
      <c r="D14" s="61"/>
      <c r="E14" s="61"/>
      <c r="I14"/>
      <c r="J14"/>
      <c r="K14"/>
      <c r="L14" s="87" t="s">
        <v>12</v>
      </c>
      <c r="M14" s="88">
        <f>SUM(M9:M12)</f>
        <v>0</v>
      </c>
    </row>
    <row r="15" spans="1:13" ht="15.75" customHeight="1" x14ac:dyDescent="0.25">
      <c r="A15" s="12"/>
      <c r="B15" s="266"/>
      <c r="C15" s="266"/>
      <c r="D15" s="266"/>
      <c r="E15" s="266"/>
      <c r="F15" s="267" t="s">
        <v>229</v>
      </c>
      <c r="G15" s="267"/>
    </row>
    <row r="16" spans="1:13" customFormat="1" ht="14.1" customHeight="1" x14ac:dyDescent="0.3">
      <c r="F16" s="45"/>
      <c r="G16" s="45"/>
      <c r="I16" s="45"/>
      <c r="J16" s="45"/>
      <c r="K16" s="45"/>
      <c r="L16" s="45"/>
      <c r="M16" s="45"/>
    </row>
    <row r="17" spans="1:16" s="62" customFormat="1" ht="30" customHeight="1" x14ac:dyDescent="0.3">
      <c r="A17" s="254" t="s">
        <v>47</v>
      </c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</row>
    <row r="19" spans="1:16" ht="14.1" customHeight="1" x14ac:dyDescent="0.25">
      <c r="C19" s="235" t="s">
        <v>94</v>
      </c>
      <c r="D19" s="236"/>
      <c r="E19" s="237"/>
    </row>
    <row r="20" spans="1:16" ht="14.1" customHeight="1" x14ac:dyDescent="0.25">
      <c r="C20" s="55" t="s">
        <v>95</v>
      </c>
      <c r="D20" s="55"/>
      <c r="E20" s="116">
        <v>0</v>
      </c>
      <c r="K20" s="200" t="s">
        <v>45</v>
      </c>
      <c r="L20" s="200"/>
      <c r="M20" s="200"/>
      <c r="N20" s="200"/>
    </row>
    <row r="21" spans="1:16" ht="14.1" customHeight="1" x14ac:dyDescent="0.25">
      <c r="C21" s="218" t="s">
        <v>96</v>
      </c>
      <c r="D21" s="218"/>
      <c r="E21" s="116">
        <v>0</v>
      </c>
      <c r="K21" s="234" t="s">
        <v>46</v>
      </c>
      <c r="L21" s="234"/>
      <c r="M21" s="234"/>
      <c r="N21" s="234"/>
    </row>
    <row r="22" spans="1:16" ht="14.1" customHeight="1" x14ac:dyDescent="0.25">
      <c r="C22" s="218" t="s">
        <v>97</v>
      </c>
      <c r="D22" s="218"/>
      <c r="E22" s="116">
        <v>0</v>
      </c>
      <c r="K22" s="234" t="s">
        <v>52</v>
      </c>
      <c r="L22" s="234"/>
      <c r="M22" s="234"/>
      <c r="N22" s="234"/>
    </row>
    <row r="23" spans="1:16" ht="14.1" customHeight="1" x14ac:dyDescent="0.3">
      <c r="C23" s="218" t="s">
        <v>92</v>
      </c>
      <c r="D23" s="218"/>
      <c r="E23" s="116">
        <v>310</v>
      </c>
      <c r="K23" s="234" t="s">
        <v>10</v>
      </c>
      <c r="L23" s="234"/>
      <c r="M23" s="234"/>
      <c r="N23" s="234"/>
    </row>
    <row r="24" spans="1:16" ht="14.1" customHeight="1" x14ac:dyDescent="0.25">
      <c r="C24" s="255" t="s">
        <v>93</v>
      </c>
      <c r="D24" s="256"/>
      <c r="E24" s="63">
        <f>(((PI()*(E20/2)^2)-(PI()*(E21/2)^2))*E22)/1000/E23</f>
        <v>0</v>
      </c>
      <c r="K24" s="234" t="s">
        <v>11</v>
      </c>
      <c r="L24" s="234"/>
      <c r="M24" s="234"/>
      <c r="N24" s="234"/>
    </row>
    <row r="26" spans="1:16" ht="14.1" customHeight="1" x14ac:dyDescent="0.3">
      <c r="J26" s="13"/>
      <c r="K26" s="13"/>
      <c r="L26" s="13"/>
      <c r="M26" s="13"/>
    </row>
    <row r="27" spans="1:16" ht="20.100000000000001" customHeight="1" x14ac:dyDescent="0.3">
      <c r="B27" s="209" t="s">
        <v>88</v>
      </c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1"/>
    </row>
    <row r="28" spans="1:16" ht="28.5" customHeight="1" x14ac:dyDescent="0.25">
      <c r="B28" s="189" t="s">
        <v>5</v>
      </c>
      <c r="C28" s="189" t="s">
        <v>86</v>
      </c>
      <c r="D28" s="189" t="s">
        <v>216</v>
      </c>
      <c r="E28" s="189" t="s">
        <v>87</v>
      </c>
      <c r="F28" s="221"/>
      <c r="G28" s="221"/>
      <c r="H28" s="221"/>
      <c r="I28" s="189" t="s">
        <v>49</v>
      </c>
      <c r="J28" s="189"/>
      <c r="K28" s="189"/>
      <c r="L28" s="189"/>
      <c r="M28" s="189" t="s">
        <v>53</v>
      </c>
      <c r="N28" s="189" t="s">
        <v>12</v>
      </c>
    </row>
    <row r="29" spans="1:16" ht="14.1" customHeight="1" x14ac:dyDescent="0.25">
      <c r="B29" s="189"/>
      <c r="C29" s="189"/>
      <c r="D29" s="189"/>
      <c r="E29" s="7" t="s">
        <v>1</v>
      </c>
      <c r="F29" s="7" t="s">
        <v>2</v>
      </c>
      <c r="G29" s="7" t="s">
        <v>3</v>
      </c>
      <c r="H29" s="7" t="s">
        <v>4</v>
      </c>
      <c r="I29" s="7" t="s">
        <v>50</v>
      </c>
      <c r="J29" s="7" t="s">
        <v>51</v>
      </c>
      <c r="K29" s="7" t="s">
        <v>3</v>
      </c>
      <c r="L29" s="7" t="s">
        <v>4</v>
      </c>
      <c r="M29" s="189"/>
      <c r="N29" s="189"/>
    </row>
    <row r="30" spans="1:16" ht="14.1" customHeight="1" x14ac:dyDescent="0.3">
      <c r="B30" s="109">
        <v>0</v>
      </c>
      <c r="C30" s="5">
        <v>20</v>
      </c>
      <c r="D30" s="5">
        <v>1</v>
      </c>
      <c r="E30" s="36">
        <v>0.1</v>
      </c>
      <c r="F30" s="37">
        <v>31.9</v>
      </c>
      <c r="G30" s="117">
        <v>0</v>
      </c>
      <c r="H30" s="21">
        <f>F30*(1-G30)*E30</f>
        <v>3.19</v>
      </c>
      <c r="I30" s="5">
        <v>0.1</v>
      </c>
      <c r="J30" s="21">
        <v>7.43</v>
      </c>
      <c r="K30" s="117">
        <v>0</v>
      </c>
      <c r="L30" s="21">
        <f>J30*(1-K30)*I30</f>
        <v>0.74299999999999999</v>
      </c>
      <c r="M30" s="21">
        <f>L30+H30</f>
        <v>3.9329999999999998</v>
      </c>
      <c r="N30" s="21">
        <f>M30*B30</f>
        <v>0</v>
      </c>
    </row>
    <row r="31" spans="1:16" ht="14.1" customHeight="1" x14ac:dyDescent="0.3">
      <c r="B31" s="109">
        <v>0</v>
      </c>
      <c r="C31" s="5">
        <v>20</v>
      </c>
      <c r="D31" s="5">
        <v>4</v>
      </c>
      <c r="E31" s="36">
        <v>0.8</v>
      </c>
      <c r="F31" s="37">
        <v>31.9</v>
      </c>
      <c r="G31" s="38">
        <f>$G$30</f>
        <v>0</v>
      </c>
      <c r="H31" s="21">
        <f>F31*(1-G31)*E31</f>
        <v>25.52</v>
      </c>
      <c r="I31" s="5">
        <v>0.1</v>
      </c>
      <c r="J31" s="21">
        <v>7.43</v>
      </c>
      <c r="K31" s="16">
        <f>$K$30</f>
        <v>0</v>
      </c>
      <c r="L31" s="21">
        <f>J31*(1-K31)*I31</f>
        <v>0.74299999999999999</v>
      </c>
      <c r="M31" s="21">
        <f>L31+H31</f>
        <v>26.262999999999998</v>
      </c>
      <c r="N31" s="21">
        <f>M31*B31</f>
        <v>0</v>
      </c>
    </row>
    <row r="32" spans="1:16" ht="14.1" customHeight="1" x14ac:dyDescent="0.3">
      <c r="L32" s="252" t="s">
        <v>12</v>
      </c>
      <c r="M32" s="253"/>
      <c r="N32" s="1">
        <f>SUM($N$30:$N$31)</f>
        <v>0</v>
      </c>
    </row>
    <row r="33" spans="1:16" ht="14.1" customHeight="1" x14ac:dyDescent="0.25">
      <c r="L33" s="252" t="s">
        <v>161</v>
      </c>
      <c r="M33" s="253"/>
      <c r="N33" s="95">
        <f>SUMPRODUCT(B30:B31,E30:E31)</f>
        <v>0</v>
      </c>
    </row>
    <row r="35" spans="1:16" ht="14.1" customHeight="1" x14ac:dyDescent="0.25">
      <c r="B35" s="188" t="s">
        <v>224</v>
      </c>
      <c r="C35" s="188"/>
      <c r="D35" s="188"/>
    </row>
    <row r="37" spans="1:16" ht="30" customHeight="1" x14ac:dyDescent="0.3">
      <c r="A37" s="254" t="s">
        <v>210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</row>
    <row r="39" spans="1:16" ht="14.1" customHeight="1" x14ac:dyDescent="0.25">
      <c r="J39" s="200" t="s">
        <v>54</v>
      </c>
      <c r="K39" s="200"/>
      <c r="L39" s="200"/>
      <c r="M39" s="200"/>
    </row>
    <row r="40" spans="1:16" ht="14.1" customHeight="1" x14ac:dyDescent="0.25">
      <c r="J40" s="200" t="s">
        <v>57</v>
      </c>
      <c r="K40" s="200"/>
      <c r="L40" s="200"/>
      <c r="M40" s="200"/>
    </row>
    <row r="41" spans="1:16" ht="14.1" customHeight="1" x14ac:dyDescent="0.25">
      <c r="J41" s="200" t="s">
        <v>58</v>
      </c>
      <c r="K41" s="200"/>
      <c r="L41" s="200"/>
      <c r="M41" s="200"/>
    </row>
    <row r="42" spans="1:16" ht="14.1" customHeight="1" x14ac:dyDescent="0.25">
      <c r="J42" s="200" t="s">
        <v>10</v>
      </c>
      <c r="K42" s="200"/>
      <c r="L42" s="200"/>
      <c r="M42" s="200"/>
    </row>
    <row r="43" spans="1:16" ht="14.1" customHeight="1" x14ac:dyDescent="0.25">
      <c r="C43" s="7" t="s">
        <v>63</v>
      </c>
      <c r="D43" s="7" t="s">
        <v>64</v>
      </c>
      <c r="E43" s="221" t="s">
        <v>91</v>
      </c>
      <c r="F43" s="221"/>
      <c r="G43" s="221"/>
      <c r="J43" s="200" t="s">
        <v>59</v>
      </c>
      <c r="K43" s="200"/>
      <c r="L43" s="200"/>
      <c r="M43" s="200"/>
    </row>
    <row r="44" spans="1:16" ht="14.1" customHeight="1" x14ac:dyDescent="0.25">
      <c r="B44" s="6" t="s">
        <v>89</v>
      </c>
      <c r="C44" s="116">
        <v>0</v>
      </c>
      <c r="D44" s="116">
        <v>0</v>
      </c>
      <c r="E44" s="249">
        <f>((C44*D44)/10000)-((C45*D45)/10000)</f>
        <v>0</v>
      </c>
      <c r="F44" s="250"/>
      <c r="G44" s="251"/>
    </row>
    <row r="45" spans="1:16" ht="14.1" customHeight="1" x14ac:dyDescent="0.25">
      <c r="B45" s="6" t="s">
        <v>90</v>
      </c>
      <c r="C45" s="116">
        <v>0</v>
      </c>
      <c r="D45" s="116">
        <v>0</v>
      </c>
    </row>
    <row r="47" spans="1:16" ht="20.100000000000001" customHeight="1" x14ac:dyDescent="0.25">
      <c r="B47" s="209" t="s">
        <v>98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1"/>
    </row>
    <row r="48" spans="1:16" ht="31.5" customHeight="1" x14ac:dyDescent="0.25">
      <c r="B48" s="189" t="s">
        <v>5</v>
      </c>
      <c r="C48" s="189" t="s">
        <v>99</v>
      </c>
      <c r="D48" s="189" t="s">
        <v>62</v>
      </c>
      <c r="E48" s="221" t="s">
        <v>61</v>
      </c>
      <c r="F48" s="221"/>
      <c r="G48" s="221"/>
      <c r="H48" s="221"/>
      <c r="I48" s="189" t="s">
        <v>132</v>
      </c>
      <c r="J48" s="189"/>
      <c r="K48" s="189"/>
      <c r="L48" s="189"/>
      <c r="M48" s="189" t="s">
        <v>53</v>
      </c>
      <c r="N48" s="189" t="s">
        <v>53</v>
      </c>
    </row>
    <row r="49" spans="1:16" ht="14.1" customHeight="1" x14ac:dyDescent="0.25">
      <c r="B49" s="189"/>
      <c r="C49" s="189"/>
      <c r="D49" s="189"/>
      <c r="E49" s="80" t="s">
        <v>1</v>
      </c>
      <c r="F49" s="80" t="s">
        <v>2</v>
      </c>
      <c r="G49" s="80" t="s">
        <v>3</v>
      </c>
      <c r="H49" s="80" t="s">
        <v>4</v>
      </c>
      <c r="I49" s="80" t="s">
        <v>50</v>
      </c>
      <c r="J49" s="80" t="s">
        <v>51</v>
      </c>
      <c r="K49" s="80" t="s">
        <v>3</v>
      </c>
      <c r="L49" s="80" t="s">
        <v>4</v>
      </c>
      <c r="M49" s="189"/>
      <c r="N49" s="189"/>
    </row>
    <row r="50" spans="1:16" ht="14.1" customHeight="1" x14ac:dyDescent="0.25">
      <c r="B50" s="116">
        <v>0</v>
      </c>
      <c r="C50" s="5" t="s">
        <v>100</v>
      </c>
      <c r="D50" s="5">
        <v>7.0000000000000007E-2</v>
      </c>
      <c r="E50" s="64">
        <f>D50*0.17</f>
        <v>1.1900000000000003E-2</v>
      </c>
      <c r="F50" s="79">
        <v>510</v>
      </c>
      <c r="G50" s="117">
        <v>0</v>
      </c>
      <c r="H50" s="79">
        <f>F50*(1-G50)*E50</f>
        <v>6.0690000000000017</v>
      </c>
      <c r="I50" s="5">
        <f t="shared" ref="I50:I55" si="0">D50</f>
        <v>7.0000000000000007E-2</v>
      </c>
      <c r="J50" s="79">
        <v>52</v>
      </c>
      <c r="K50" s="117">
        <v>0</v>
      </c>
      <c r="L50" s="79">
        <f>J50*(1-K50)*I50</f>
        <v>3.6400000000000006</v>
      </c>
      <c r="M50" s="79">
        <f t="shared" ref="M50:M55" si="1">L50+H50</f>
        <v>9.7090000000000032</v>
      </c>
      <c r="N50" s="79">
        <f t="shared" ref="N50:N55" si="2">M50*B50</f>
        <v>0</v>
      </c>
    </row>
    <row r="51" spans="1:16" ht="14.1" customHeight="1" x14ac:dyDescent="0.25">
      <c r="B51" s="116">
        <v>0</v>
      </c>
      <c r="C51" s="5" t="s">
        <v>101</v>
      </c>
      <c r="D51" s="5">
        <v>0.09</v>
      </c>
      <c r="E51" s="64">
        <f t="shared" ref="E51:E55" si="3">D51*0.17</f>
        <v>1.5300000000000001E-2</v>
      </c>
      <c r="F51" s="79">
        <v>510</v>
      </c>
      <c r="G51" s="16">
        <f>$G$50</f>
        <v>0</v>
      </c>
      <c r="H51" s="79">
        <f>F51*(1-G51)*E51</f>
        <v>7.8030000000000008</v>
      </c>
      <c r="I51" s="5">
        <f t="shared" si="0"/>
        <v>0.09</v>
      </c>
      <c r="J51" s="79">
        <v>52</v>
      </c>
      <c r="K51" s="16">
        <f>$K$50</f>
        <v>0</v>
      </c>
      <c r="L51" s="79">
        <f t="shared" ref="L51:L55" si="4">J51*(1-K51)*I51</f>
        <v>4.68</v>
      </c>
      <c r="M51" s="79">
        <f t="shared" si="1"/>
        <v>12.483000000000001</v>
      </c>
      <c r="N51" s="79">
        <f t="shared" si="2"/>
        <v>0</v>
      </c>
    </row>
    <row r="52" spans="1:16" ht="14.1" customHeight="1" x14ac:dyDescent="0.25">
      <c r="B52" s="116">
        <v>0</v>
      </c>
      <c r="C52" s="5" t="s">
        <v>102</v>
      </c>
      <c r="D52" s="5">
        <v>0.11</v>
      </c>
      <c r="E52" s="64">
        <f t="shared" si="3"/>
        <v>1.8700000000000001E-2</v>
      </c>
      <c r="F52" s="79">
        <v>510</v>
      </c>
      <c r="G52" s="16">
        <f t="shared" ref="G52:G55" si="5">$G$50</f>
        <v>0</v>
      </c>
      <c r="H52" s="79">
        <f t="shared" ref="H52:H55" si="6">F52*(1-G52)*E52</f>
        <v>9.5370000000000008</v>
      </c>
      <c r="I52" s="5">
        <f t="shared" si="0"/>
        <v>0.11</v>
      </c>
      <c r="J52" s="79">
        <v>52</v>
      </c>
      <c r="K52" s="16">
        <f t="shared" ref="K52:K55" si="7">$K$50</f>
        <v>0</v>
      </c>
      <c r="L52" s="79">
        <f t="shared" si="4"/>
        <v>5.72</v>
      </c>
      <c r="M52" s="79">
        <f t="shared" si="1"/>
        <v>15.257000000000001</v>
      </c>
      <c r="N52" s="79">
        <f t="shared" si="2"/>
        <v>0</v>
      </c>
    </row>
    <row r="53" spans="1:16" ht="14.1" customHeight="1" x14ac:dyDescent="0.25">
      <c r="B53" s="116">
        <v>0</v>
      </c>
      <c r="C53" s="5" t="s">
        <v>103</v>
      </c>
      <c r="D53" s="5">
        <v>0.13</v>
      </c>
      <c r="E53" s="64">
        <f t="shared" si="3"/>
        <v>2.2100000000000002E-2</v>
      </c>
      <c r="F53" s="79">
        <v>510</v>
      </c>
      <c r="G53" s="16">
        <f t="shared" si="5"/>
        <v>0</v>
      </c>
      <c r="H53" s="21">
        <f t="shared" si="6"/>
        <v>11.271000000000001</v>
      </c>
      <c r="I53" s="5">
        <f t="shared" si="0"/>
        <v>0.13</v>
      </c>
      <c r="J53" s="21">
        <v>52</v>
      </c>
      <c r="K53" s="16">
        <f t="shared" si="7"/>
        <v>0</v>
      </c>
      <c r="L53" s="21">
        <f t="shared" si="4"/>
        <v>6.76</v>
      </c>
      <c r="M53" s="21">
        <f t="shared" si="1"/>
        <v>18.030999999999999</v>
      </c>
      <c r="N53" s="21">
        <f t="shared" si="2"/>
        <v>0</v>
      </c>
    </row>
    <row r="54" spans="1:16" ht="14.1" customHeight="1" x14ac:dyDescent="0.25">
      <c r="B54" s="116">
        <v>0</v>
      </c>
      <c r="C54" s="5" t="s">
        <v>104</v>
      </c>
      <c r="D54" s="5">
        <v>0.15</v>
      </c>
      <c r="E54" s="64">
        <f t="shared" si="3"/>
        <v>2.5500000000000002E-2</v>
      </c>
      <c r="F54" s="79">
        <v>510</v>
      </c>
      <c r="G54" s="16">
        <f t="shared" si="5"/>
        <v>0</v>
      </c>
      <c r="H54" s="21">
        <f t="shared" si="6"/>
        <v>13.005000000000001</v>
      </c>
      <c r="I54" s="5">
        <f t="shared" si="0"/>
        <v>0.15</v>
      </c>
      <c r="J54" s="21">
        <v>52</v>
      </c>
      <c r="K54" s="16">
        <f t="shared" si="7"/>
        <v>0</v>
      </c>
      <c r="L54" s="21">
        <f t="shared" si="4"/>
        <v>7.8</v>
      </c>
      <c r="M54" s="21">
        <f t="shared" si="1"/>
        <v>20.805</v>
      </c>
      <c r="N54" s="21">
        <f t="shared" si="2"/>
        <v>0</v>
      </c>
    </row>
    <row r="55" spans="1:16" ht="14.1" customHeight="1" x14ac:dyDescent="0.25">
      <c r="B55" s="116">
        <v>0</v>
      </c>
      <c r="C55" s="5" t="s">
        <v>105</v>
      </c>
      <c r="D55" s="5">
        <v>0.17</v>
      </c>
      <c r="E55" s="64">
        <f t="shared" si="3"/>
        <v>2.8900000000000006E-2</v>
      </c>
      <c r="F55" s="79">
        <v>510</v>
      </c>
      <c r="G55" s="16">
        <f t="shared" si="5"/>
        <v>0</v>
      </c>
      <c r="H55" s="21">
        <f t="shared" si="6"/>
        <v>14.739000000000003</v>
      </c>
      <c r="I55" s="5">
        <f t="shared" si="0"/>
        <v>0.17</v>
      </c>
      <c r="J55" s="21">
        <v>52</v>
      </c>
      <c r="K55" s="16">
        <f t="shared" si="7"/>
        <v>0</v>
      </c>
      <c r="L55" s="21">
        <f t="shared" si="4"/>
        <v>8.84</v>
      </c>
      <c r="M55" s="21">
        <f t="shared" si="1"/>
        <v>23.579000000000001</v>
      </c>
      <c r="N55" s="21">
        <f t="shared" si="2"/>
        <v>0</v>
      </c>
    </row>
    <row r="56" spans="1:16" ht="14.1" customHeight="1" x14ac:dyDescent="0.25">
      <c r="L56" s="252" t="s">
        <v>12</v>
      </c>
      <c r="M56" s="253"/>
      <c r="N56" s="1">
        <f>SUM($N$50:$N$55)</f>
        <v>0</v>
      </c>
    </row>
    <row r="57" spans="1:16" ht="14.1" customHeight="1" x14ac:dyDescent="0.25">
      <c r="L57" s="252" t="s">
        <v>170</v>
      </c>
      <c r="M57" s="253"/>
      <c r="N57" s="96">
        <f>SUMPRODUCT(B50:B55,E50:E55)</f>
        <v>0</v>
      </c>
    </row>
    <row r="58" spans="1:16" ht="14.1" customHeight="1" x14ac:dyDescent="0.25">
      <c r="L58" s="252" t="s">
        <v>162</v>
      </c>
      <c r="M58" s="253"/>
      <c r="N58" s="96">
        <f>SUMPRODUCT(B50:B55,I50:I55)</f>
        <v>0</v>
      </c>
    </row>
    <row r="59" spans="1:16" ht="14.1" customHeight="1" x14ac:dyDescent="0.25">
      <c r="L59"/>
      <c r="M59"/>
      <c r="N59"/>
      <c r="O59"/>
    </row>
    <row r="60" spans="1:16" ht="14.1" customHeight="1" x14ac:dyDescent="0.25">
      <c r="B60" s="188" t="s">
        <v>224</v>
      </c>
      <c r="C60" s="188"/>
      <c r="D60" s="188"/>
      <c r="L60"/>
      <c r="M60"/>
      <c r="N60"/>
      <c r="O60"/>
    </row>
    <row r="62" spans="1:16" ht="30" customHeight="1" x14ac:dyDescent="0.25">
      <c r="A62" s="254" t="s">
        <v>172</v>
      </c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</row>
    <row r="64" spans="1:16" ht="14.1" customHeight="1" x14ac:dyDescent="0.25">
      <c r="J64" s="200" t="s">
        <v>54</v>
      </c>
      <c r="K64" s="200"/>
      <c r="L64" s="200"/>
      <c r="M64" s="200"/>
    </row>
    <row r="65" spans="3:13" ht="14.1" customHeight="1" x14ac:dyDescent="0.25">
      <c r="J65" s="12" t="s">
        <v>58</v>
      </c>
      <c r="K65" s="12"/>
      <c r="L65" s="12"/>
      <c r="M65" s="12"/>
    </row>
    <row r="66" spans="3:13" ht="14.1" customHeight="1" x14ac:dyDescent="0.25">
      <c r="J66" s="12" t="s">
        <v>10</v>
      </c>
      <c r="K66" s="12"/>
      <c r="L66" s="12"/>
      <c r="M66" s="12"/>
    </row>
    <row r="67" spans="3:13" ht="14.1" customHeight="1" x14ac:dyDescent="0.25">
      <c r="J67" s="200" t="s">
        <v>59</v>
      </c>
      <c r="K67" s="200"/>
      <c r="L67" s="200"/>
      <c r="M67" s="200"/>
    </row>
    <row r="70" spans="3:13" ht="20.100000000000001" customHeight="1" x14ac:dyDescent="0.25">
      <c r="C70" s="209" t="s">
        <v>217</v>
      </c>
      <c r="D70" s="210"/>
      <c r="E70" s="210"/>
      <c r="F70" s="210"/>
      <c r="G70" s="210"/>
      <c r="H70" s="210"/>
      <c r="I70" s="210"/>
      <c r="J70" s="210"/>
      <c r="K70" s="210"/>
      <c r="L70" s="210"/>
      <c r="M70" s="211"/>
    </row>
    <row r="71" spans="3:13" ht="29.25" customHeight="1" x14ac:dyDescent="0.25">
      <c r="C71" s="80" t="s">
        <v>177</v>
      </c>
      <c r="D71" s="221" t="s">
        <v>176</v>
      </c>
      <c r="E71" s="221"/>
      <c r="F71" s="221"/>
      <c r="G71" s="189" t="s">
        <v>179</v>
      </c>
      <c r="H71" s="189" t="s">
        <v>201</v>
      </c>
      <c r="I71" s="221" t="s">
        <v>117</v>
      </c>
      <c r="J71" s="221"/>
      <c r="K71" s="221"/>
      <c r="L71" s="221"/>
      <c r="M71" s="189" t="s">
        <v>178</v>
      </c>
    </row>
    <row r="72" spans="3:13" ht="29.25" customHeight="1" x14ac:dyDescent="0.25">
      <c r="C72" s="80"/>
      <c r="D72" s="80" t="s">
        <v>173</v>
      </c>
      <c r="E72" s="80" t="s">
        <v>174</v>
      </c>
      <c r="F72" s="80" t="s">
        <v>175</v>
      </c>
      <c r="G72" s="189"/>
      <c r="H72" s="189"/>
      <c r="I72" s="78" t="s">
        <v>1</v>
      </c>
      <c r="J72" s="78" t="s">
        <v>2</v>
      </c>
      <c r="K72" s="78" t="s">
        <v>3</v>
      </c>
      <c r="L72" s="78" t="s">
        <v>4</v>
      </c>
      <c r="M72" s="189"/>
    </row>
    <row r="73" spans="3:13" ht="14.1" customHeight="1" x14ac:dyDescent="0.25">
      <c r="C73" s="5">
        <v>1</v>
      </c>
      <c r="D73" s="109">
        <v>0</v>
      </c>
      <c r="E73" s="109">
        <v>0</v>
      </c>
      <c r="F73" s="109">
        <v>0</v>
      </c>
      <c r="G73" s="73">
        <f>D73*E73*F73</f>
        <v>0</v>
      </c>
      <c r="H73" s="5">
        <v>38</v>
      </c>
      <c r="I73" s="74">
        <f>(G73/(H73*1000))</f>
        <v>0</v>
      </c>
      <c r="J73" s="21">
        <v>89</v>
      </c>
      <c r="K73" s="110">
        <v>0</v>
      </c>
      <c r="L73" s="21">
        <f>J73*(1-K73)</f>
        <v>89</v>
      </c>
      <c r="M73" s="21">
        <f>J73*(1-K73)*I73</f>
        <v>0</v>
      </c>
    </row>
    <row r="74" spans="3:13" ht="14.1" customHeight="1" x14ac:dyDescent="0.25">
      <c r="C74" s="5">
        <v>2</v>
      </c>
      <c r="D74" s="109">
        <v>0</v>
      </c>
      <c r="E74" s="109">
        <v>0</v>
      </c>
      <c r="F74" s="109">
        <v>0</v>
      </c>
      <c r="G74" s="73">
        <f t="shared" ref="G74:G77" si="8">D74*E74*F74</f>
        <v>0</v>
      </c>
      <c r="H74" s="5">
        <v>38</v>
      </c>
      <c r="I74" s="74">
        <f>(G74/(H74*1000))</f>
        <v>0</v>
      </c>
      <c r="J74" s="21">
        <v>89</v>
      </c>
      <c r="K74" s="16">
        <f>$K$73</f>
        <v>0</v>
      </c>
      <c r="L74" s="21">
        <f t="shared" ref="L74:L77" si="9">J74*(1-K74)</f>
        <v>89</v>
      </c>
      <c r="M74" s="21">
        <f>J74*(1-K74)*I74</f>
        <v>0</v>
      </c>
    </row>
    <row r="75" spans="3:13" ht="14.1" customHeight="1" x14ac:dyDescent="0.25">
      <c r="C75" s="5">
        <v>3</v>
      </c>
      <c r="D75" s="109">
        <v>0</v>
      </c>
      <c r="E75" s="109">
        <v>0</v>
      </c>
      <c r="F75" s="109">
        <v>0</v>
      </c>
      <c r="G75" s="73">
        <f t="shared" si="8"/>
        <v>0</v>
      </c>
      <c r="H75" s="5">
        <v>38</v>
      </c>
      <c r="I75" s="74">
        <f>(G75/(H75*1000))</f>
        <v>0</v>
      </c>
      <c r="J75" s="21">
        <v>89</v>
      </c>
      <c r="K75" s="16">
        <f t="shared" ref="K75:K77" si="10">$K$73</f>
        <v>0</v>
      </c>
      <c r="L75" s="21">
        <f t="shared" si="9"/>
        <v>89</v>
      </c>
      <c r="M75" s="21">
        <f>J75*(1-K75)*I75</f>
        <v>0</v>
      </c>
    </row>
    <row r="76" spans="3:13" ht="14.1" customHeight="1" x14ac:dyDescent="0.25">
      <c r="C76" s="5">
        <v>4</v>
      </c>
      <c r="D76" s="109">
        <v>0</v>
      </c>
      <c r="E76" s="109">
        <v>0</v>
      </c>
      <c r="F76" s="109">
        <v>0</v>
      </c>
      <c r="G76" s="73">
        <f t="shared" si="8"/>
        <v>0</v>
      </c>
      <c r="H76" s="5">
        <v>38</v>
      </c>
      <c r="I76" s="74">
        <f>(G76/(H76*1000))</f>
        <v>0</v>
      </c>
      <c r="J76" s="21">
        <v>89</v>
      </c>
      <c r="K76" s="16">
        <f t="shared" si="10"/>
        <v>0</v>
      </c>
      <c r="L76" s="21">
        <f t="shared" si="9"/>
        <v>89</v>
      </c>
      <c r="M76" s="21">
        <f>J76*(1-K76)*I76</f>
        <v>0</v>
      </c>
    </row>
    <row r="77" spans="3:13" ht="14.1" customHeight="1" x14ac:dyDescent="0.25">
      <c r="C77" s="5">
        <v>5</v>
      </c>
      <c r="D77" s="109">
        <v>0</v>
      </c>
      <c r="E77" s="109">
        <v>0</v>
      </c>
      <c r="F77" s="109">
        <v>0</v>
      </c>
      <c r="G77" s="73">
        <f t="shared" si="8"/>
        <v>0</v>
      </c>
      <c r="H77" s="5">
        <v>38</v>
      </c>
      <c r="I77" s="74">
        <f>(G77/(H77*1000))</f>
        <v>0</v>
      </c>
      <c r="J77" s="21">
        <v>89</v>
      </c>
      <c r="K77" s="16">
        <f t="shared" si="10"/>
        <v>0</v>
      </c>
      <c r="L77" s="21">
        <f t="shared" si="9"/>
        <v>89</v>
      </c>
      <c r="M77" s="21">
        <f>J77*(1-K77)*I77</f>
        <v>0</v>
      </c>
    </row>
    <row r="78" spans="3:13" ht="14.1" customHeight="1" x14ac:dyDescent="0.25">
      <c r="K78" s="191" t="s">
        <v>12</v>
      </c>
      <c r="L78" s="191"/>
      <c r="M78" s="65">
        <f>SUM(M73:M77)</f>
        <v>0</v>
      </c>
    </row>
    <row r="79" spans="3:13" ht="14.1" customHeight="1" x14ac:dyDescent="0.25">
      <c r="K79" s="191" t="s">
        <v>180</v>
      </c>
      <c r="L79" s="191"/>
      <c r="M79" s="98">
        <f>SUM(I73:I77)</f>
        <v>0</v>
      </c>
    </row>
    <row r="82" spans="2:15" ht="20.100000000000001" customHeight="1" x14ac:dyDescent="0.25">
      <c r="B82" s="209" t="s">
        <v>218</v>
      </c>
      <c r="C82" s="210"/>
      <c r="D82" s="210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1"/>
    </row>
    <row r="83" spans="2:15" ht="28.5" customHeight="1" x14ac:dyDescent="0.25">
      <c r="B83" s="221" t="s">
        <v>176</v>
      </c>
      <c r="C83" s="221"/>
      <c r="D83" s="221"/>
      <c r="E83" s="189" t="s">
        <v>202</v>
      </c>
      <c r="F83" s="189" t="s">
        <v>201</v>
      </c>
      <c r="G83" s="235" t="s">
        <v>117</v>
      </c>
      <c r="H83" s="236"/>
      <c r="I83" s="236"/>
      <c r="J83" s="237"/>
      <c r="K83" s="235" t="s">
        <v>205</v>
      </c>
      <c r="L83" s="236"/>
      <c r="M83" s="236"/>
      <c r="N83" s="237"/>
      <c r="O83" s="189" t="s">
        <v>178</v>
      </c>
    </row>
    <row r="84" spans="2:15" ht="25.5" customHeight="1" x14ac:dyDescent="0.25">
      <c r="B84" s="80" t="s">
        <v>173</v>
      </c>
      <c r="C84" s="80" t="s">
        <v>174</v>
      </c>
      <c r="D84" s="78" t="s">
        <v>200</v>
      </c>
      <c r="E84" s="189"/>
      <c r="F84" s="189"/>
      <c r="G84" s="78" t="s">
        <v>1</v>
      </c>
      <c r="H84" s="78" t="s">
        <v>2</v>
      </c>
      <c r="I84" s="78" t="s">
        <v>3</v>
      </c>
      <c r="J84" s="78" t="s">
        <v>4</v>
      </c>
      <c r="K84" s="78" t="s">
        <v>50</v>
      </c>
      <c r="L84" s="108" t="s">
        <v>51</v>
      </c>
      <c r="M84" s="78" t="s">
        <v>3</v>
      </c>
      <c r="N84" s="78" t="s">
        <v>4</v>
      </c>
      <c r="O84" s="189"/>
    </row>
    <row r="85" spans="2:15" ht="14.1" customHeight="1" x14ac:dyDescent="0.25">
      <c r="B85" s="109">
        <v>0</v>
      </c>
      <c r="C85" s="109">
        <v>0</v>
      </c>
      <c r="D85" s="109">
        <v>0</v>
      </c>
      <c r="E85" s="70">
        <f>10*B85*C85</f>
        <v>0</v>
      </c>
      <c r="F85" s="70">
        <v>38</v>
      </c>
      <c r="G85" s="76">
        <f>E85/(F85*1000)</f>
        <v>0</v>
      </c>
      <c r="H85" s="71">
        <v>89</v>
      </c>
      <c r="I85" s="118">
        <v>0</v>
      </c>
      <c r="J85" s="71">
        <f>H85*(1-I85)*G85</f>
        <v>0</v>
      </c>
      <c r="K85" s="77">
        <f>(((B85*C85*D85)-E85)/1000000)*90</f>
        <v>0</v>
      </c>
      <c r="L85" s="11">
        <v>7.43</v>
      </c>
      <c r="M85" s="118">
        <v>0</v>
      </c>
      <c r="N85" s="71">
        <f>L85*(1-M85)</f>
        <v>7.43</v>
      </c>
      <c r="O85" s="71">
        <f>N85*K85+J85*G85</f>
        <v>0</v>
      </c>
    </row>
    <row r="86" spans="2:15" ht="14.1" customHeight="1" x14ac:dyDescent="0.25">
      <c r="B86" s="109">
        <v>0</v>
      </c>
      <c r="C86" s="109">
        <v>0</v>
      </c>
      <c r="D86" s="109">
        <v>0</v>
      </c>
      <c r="E86" s="70">
        <f>10*B86*C86</f>
        <v>0</v>
      </c>
      <c r="F86" s="70">
        <v>39</v>
      </c>
      <c r="G86" s="76">
        <f>E86/(F86*1000)</f>
        <v>0</v>
      </c>
      <c r="H86" s="71">
        <v>89</v>
      </c>
      <c r="I86" s="72">
        <f>I85</f>
        <v>0</v>
      </c>
      <c r="J86" s="71">
        <f>H86*(1-I86)*G86</f>
        <v>0</v>
      </c>
      <c r="K86" s="77">
        <f>(((B86*C86*D86)-E86)/1000000)*90</f>
        <v>0</v>
      </c>
      <c r="L86" s="11">
        <v>7.43</v>
      </c>
      <c r="M86" s="72">
        <f>M85</f>
        <v>0</v>
      </c>
      <c r="N86" s="71">
        <f>L86*(1-M86)</f>
        <v>7.43</v>
      </c>
      <c r="O86" s="71">
        <f>N86*K86+J86*G86</f>
        <v>0</v>
      </c>
    </row>
    <row r="87" spans="2:15" ht="14.1" customHeight="1" x14ac:dyDescent="0.25">
      <c r="C87"/>
      <c r="D87"/>
      <c r="E87"/>
      <c r="F87"/>
      <c r="G87"/>
      <c r="H87"/>
      <c r="I87"/>
      <c r="J87"/>
      <c r="K87"/>
      <c r="L87"/>
      <c r="M87" s="197" t="s">
        <v>12</v>
      </c>
      <c r="N87" s="268"/>
      <c r="O87" s="65">
        <f>SUM(O82:O86)</f>
        <v>0</v>
      </c>
    </row>
    <row r="88" spans="2:15" ht="14.1" customHeight="1" x14ac:dyDescent="0.25">
      <c r="M88" s="197" t="s">
        <v>180</v>
      </c>
      <c r="N88" s="268"/>
      <c r="O88" s="97">
        <f>SUM(G85:G86)</f>
        <v>0</v>
      </c>
    </row>
    <row r="89" spans="2:15" ht="14.1" customHeight="1" x14ac:dyDescent="0.25">
      <c r="B89" s="188" t="s">
        <v>224</v>
      </c>
      <c r="C89" s="188"/>
      <c r="D89" s="188"/>
      <c r="M89" s="197" t="s">
        <v>206</v>
      </c>
      <c r="N89" s="268"/>
      <c r="O89" s="97">
        <f>SUM(K85:K86)</f>
        <v>0</v>
      </c>
    </row>
    <row r="96" spans="2:15" ht="14.1" customHeight="1" x14ac:dyDescent="0.25">
      <c r="J96"/>
      <c r="K96"/>
      <c r="L96"/>
    </row>
    <row r="97" spans="10:12" ht="14.1" customHeight="1" x14ac:dyDescent="0.25">
      <c r="J97"/>
      <c r="K97"/>
      <c r="L97"/>
    </row>
    <row r="98" spans="10:12" ht="14.1" customHeight="1" x14ac:dyDescent="0.25">
      <c r="J98"/>
      <c r="K98"/>
      <c r="L98"/>
    </row>
    <row r="99" spans="10:12" ht="14.1" customHeight="1" x14ac:dyDescent="0.25">
      <c r="J99"/>
      <c r="K99"/>
      <c r="L99"/>
    </row>
  </sheetData>
  <sheetProtection password="8959" sheet="1" objects="1" scenarios="1"/>
  <mergeCells count="75">
    <mergeCell ref="M89:N89"/>
    <mergeCell ref="E83:E84"/>
    <mergeCell ref="B83:D83"/>
    <mergeCell ref="F83:F84"/>
    <mergeCell ref="L56:M56"/>
    <mergeCell ref="L57:M57"/>
    <mergeCell ref="B89:D89"/>
    <mergeCell ref="M87:N87"/>
    <mergeCell ref="J64:M64"/>
    <mergeCell ref="J67:M67"/>
    <mergeCell ref="M88:N88"/>
    <mergeCell ref="C70:M70"/>
    <mergeCell ref="L32:M32"/>
    <mergeCell ref="L33:M33"/>
    <mergeCell ref="A62:P62"/>
    <mergeCell ref="F15:G15"/>
    <mergeCell ref="K83:N83"/>
    <mergeCell ref="G83:J83"/>
    <mergeCell ref="B47:N47"/>
    <mergeCell ref="C48:C49"/>
    <mergeCell ref="M48:M49"/>
    <mergeCell ref="B48:B49"/>
    <mergeCell ref="D48:D49"/>
    <mergeCell ref="I48:L48"/>
    <mergeCell ref="E48:H48"/>
    <mergeCell ref="I28:L28"/>
    <mergeCell ref="M28:M29"/>
    <mergeCell ref="K20:N20"/>
    <mergeCell ref="K21:N21"/>
    <mergeCell ref="K22:N22"/>
    <mergeCell ref="K23:N23"/>
    <mergeCell ref="K24:N24"/>
    <mergeCell ref="N28:N29"/>
    <mergeCell ref="B11:E11"/>
    <mergeCell ref="B12:E12"/>
    <mergeCell ref="B13:E13"/>
    <mergeCell ref="B15:E15"/>
    <mergeCell ref="M10:M11"/>
    <mergeCell ref="I9:K9"/>
    <mergeCell ref="I10:K11"/>
    <mergeCell ref="C19:E19"/>
    <mergeCell ref="B28:B29"/>
    <mergeCell ref="C28:C29"/>
    <mergeCell ref="E28:H28"/>
    <mergeCell ref="D28:D29"/>
    <mergeCell ref="B27:N27"/>
    <mergeCell ref="C24:D24"/>
    <mergeCell ref="A17:P17"/>
    <mergeCell ref="C21:D21"/>
    <mergeCell ref="C22:D22"/>
    <mergeCell ref="C23:D23"/>
    <mergeCell ref="I12:K13"/>
    <mergeCell ref="M12:M13"/>
    <mergeCell ref="B10:E10"/>
    <mergeCell ref="O83:O84"/>
    <mergeCell ref="B82:O82"/>
    <mergeCell ref="K78:L78"/>
    <mergeCell ref="K79:L79"/>
    <mergeCell ref="G71:G72"/>
    <mergeCell ref="I71:L71"/>
    <mergeCell ref="M71:M72"/>
    <mergeCell ref="H71:H72"/>
    <mergeCell ref="D71:F71"/>
    <mergeCell ref="N48:N49"/>
    <mergeCell ref="E43:G43"/>
    <mergeCell ref="E44:G44"/>
    <mergeCell ref="B35:D35"/>
    <mergeCell ref="B60:D60"/>
    <mergeCell ref="J43:M43"/>
    <mergeCell ref="L58:M58"/>
    <mergeCell ref="A37:P37"/>
    <mergeCell ref="J39:M39"/>
    <mergeCell ref="J40:M40"/>
    <mergeCell ref="J41:M41"/>
    <mergeCell ref="J42:M42"/>
  </mergeCells>
  <hyperlinks>
    <hyperlink ref="B11:E11" location="'KABLE, WIĄZKI, KORYTA '!A35" display="ALFA MASTIC"/>
    <hyperlink ref="B12" location="'KABLE, WIĄZKI, KORYTA '!N56" display="ALFA COAT + ROCKLIT"/>
    <hyperlink ref="B13:E13" location="'KABLE, WIĄZKI, KORYTA '!A88" display="ALFA FIREFOAM PREMIUM"/>
    <hyperlink ref="B12:E12" location="'KABLE, WIĄZKI, KORYTA '!A60" display="ALFA COAT + ROCKLIT"/>
    <hyperlink ref="B35" location="'KABLE, WIĄZKI, KORYTA '!A1" display="POWRÓT DO WYBORU SYSTEMU"/>
    <hyperlink ref="B60" location="'KABLE, WIĄZKI, KORYTA '!A1" display="POWRÓT DO WYBORU SYSTEMU"/>
    <hyperlink ref="B89" location="'KABLE, WIĄZKI, KORYTA '!A1" display="POWRÓT DO WYBORU SYSTEMU"/>
    <hyperlink ref="F15:G15" location="SYSTEMY!A1" display="MENU GŁÓWN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headerFooter>
    <oddFooter>&amp;A</oddFooter>
  </headerFooter>
  <rowBreaks count="2" manualBreakCount="2">
    <brk id="36" max="15" man="1"/>
    <brk id="6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Przycisk 1">
              <controlPr defaultSize="0" print="0" autoFill="0" autoPict="0" macro="[0]!PDF_3">
                <anchor moveWithCells="1" sizeWithCells="1">
                  <from>
                    <xdr:col>13</xdr:col>
                    <xdr:colOff>438150</xdr:colOff>
                    <xdr:row>12</xdr:row>
                    <xdr:rowOff>19050</xdr:rowOff>
                  </from>
                  <to>
                    <xdr:col>15</xdr:col>
                    <xdr:colOff>57150</xdr:colOff>
                    <xdr:row>15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4">
    <tabColor theme="9" tint="-0.249977111117893"/>
  </sheetPr>
  <dimension ref="A1:Q238"/>
  <sheetViews>
    <sheetView showGridLines="0" view="pageBreakPreview" zoomScale="60" zoomScaleNormal="85" workbookViewId="0">
      <selection activeCell="N192" sqref="N192"/>
    </sheetView>
  </sheetViews>
  <sheetFormatPr defaultColWidth="0" defaultRowHeight="14.1" customHeight="1" x14ac:dyDescent="0.2"/>
  <cols>
    <col min="1" max="1" width="9.140625" style="9" customWidth="1"/>
    <col min="2" max="2" width="11.5703125" style="9" customWidth="1"/>
    <col min="3" max="3" width="13" style="9" customWidth="1"/>
    <col min="4" max="4" width="13.140625" style="9" bestFit="1" customWidth="1"/>
    <col min="5" max="5" width="13.140625" style="9" customWidth="1"/>
    <col min="6" max="7" width="11" style="9" customWidth="1"/>
    <col min="8" max="8" width="12.28515625" style="9" customWidth="1"/>
    <col min="9" max="11" width="11" style="9" customWidth="1"/>
    <col min="12" max="12" width="12" style="9" customWidth="1"/>
    <col min="13" max="13" width="16.42578125" style="9" bestFit="1" customWidth="1"/>
    <col min="14" max="14" width="11" style="9" customWidth="1"/>
    <col min="15" max="15" width="15.28515625" style="9" customWidth="1"/>
    <col min="16" max="16" width="11.7109375" style="9" customWidth="1"/>
    <col min="17" max="17" width="9.140625" style="9" customWidth="1"/>
    <col min="18" max="16384" width="9.140625" style="9" hidden="1"/>
  </cols>
  <sheetData>
    <row r="1" spans="1:15" ht="14.1" customHeight="1" x14ac:dyDescent="0.25">
      <c r="A1" s="23"/>
      <c r="B1" s="2"/>
      <c r="C1" s="12"/>
      <c r="D1" s="12"/>
      <c r="E1" s="12"/>
      <c r="F1" s="12"/>
      <c r="G1" s="2"/>
      <c r="H1" s="2"/>
      <c r="I1" s="12"/>
      <c r="J1" s="3"/>
      <c r="K1" s="23"/>
    </row>
    <row r="2" spans="1:15" ht="14.1" customHeight="1" x14ac:dyDescent="0.25">
      <c r="A2" s="23"/>
      <c r="B2" s="2"/>
      <c r="C2" s="12"/>
      <c r="D2" s="12"/>
      <c r="E2" s="12"/>
      <c r="F2" s="12"/>
      <c r="G2" s="2"/>
      <c r="H2" s="2"/>
      <c r="I2" s="12"/>
      <c r="J2" s="3"/>
      <c r="K2" s="23"/>
    </row>
    <row r="3" spans="1:15" ht="14.1" customHeight="1" x14ac:dyDescent="0.25">
      <c r="A3" s="23"/>
      <c r="B3" s="2"/>
      <c r="C3" s="12"/>
      <c r="D3" s="12"/>
      <c r="E3" s="12"/>
      <c r="F3" s="12"/>
      <c r="G3" s="2"/>
      <c r="H3" s="2"/>
      <c r="I3" s="12"/>
      <c r="J3" s="3"/>
      <c r="K3" s="23"/>
    </row>
    <row r="4" spans="1:15" ht="14.1" customHeight="1" x14ac:dyDescent="0.25">
      <c r="A4" s="23"/>
      <c r="B4" s="2"/>
      <c r="C4" s="12"/>
      <c r="D4" s="12"/>
      <c r="E4" s="12"/>
      <c r="F4" s="12"/>
      <c r="G4" s="2"/>
      <c r="H4" s="2"/>
      <c r="I4" s="12"/>
      <c r="J4" s="3"/>
      <c r="K4" s="23"/>
    </row>
    <row r="5" spans="1:15" ht="14.1" customHeight="1" x14ac:dyDescent="0.25">
      <c r="A5" s="23"/>
      <c r="B5" s="2"/>
      <c r="C5" s="12"/>
      <c r="D5" s="12"/>
      <c r="E5" s="12"/>
      <c r="F5" s="12"/>
      <c r="G5" s="2"/>
      <c r="H5" s="2"/>
      <c r="I5" s="12"/>
      <c r="J5" s="3"/>
      <c r="K5" s="23"/>
    </row>
    <row r="6" spans="1:15" ht="14.1" customHeight="1" x14ac:dyDescent="0.25">
      <c r="A6" s="23"/>
      <c r="B6" s="2"/>
      <c r="C6" s="12"/>
      <c r="D6" s="12"/>
      <c r="E6" s="12"/>
      <c r="F6" s="12"/>
      <c r="G6" s="2"/>
      <c r="H6" s="2"/>
      <c r="I6" s="12"/>
      <c r="J6" s="3"/>
      <c r="K6" s="23"/>
    </row>
    <row r="7" spans="1:15" s="45" customFormat="1" ht="17.25" customHeight="1" x14ac:dyDescent="0.3">
      <c r="A7" s="124"/>
      <c r="B7" s="2"/>
      <c r="C7" s="124"/>
      <c r="D7" s="124"/>
      <c r="E7" s="124"/>
      <c r="F7" s="124"/>
      <c r="G7" s="2"/>
      <c r="H7" s="2"/>
      <c r="I7" s="124"/>
      <c r="J7" s="2"/>
      <c r="K7" s="124"/>
    </row>
    <row r="8" spans="1:15" s="45" customFormat="1" ht="18.75" customHeight="1" x14ac:dyDescent="0.3">
      <c r="A8" s="124"/>
      <c r="B8" s="277" t="s">
        <v>40</v>
      </c>
      <c r="C8" s="277"/>
      <c r="D8" s="277"/>
      <c r="E8" s="277"/>
    </row>
    <row r="9" spans="1:15" s="45" customFormat="1" ht="18.75" customHeight="1" x14ac:dyDescent="0.3">
      <c r="A9" s="125"/>
      <c r="B9" s="278" t="s">
        <v>147</v>
      </c>
      <c r="C9" s="278"/>
      <c r="D9" s="278"/>
      <c r="E9" s="278"/>
    </row>
    <row r="10" spans="1:15" s="45" customFormat="1" ht="18.75" customHeight="1" x14ac:dyDescent="0.3">
      <c r="A10" s="125"/>
      <c r="B10" s="279" t="s">
        <v>148</v>
      </c>
      <c r="C10" s="279"/>
      <c r="D10" s="279"/>
      <c r="E10" s="279"/>
    </row>
    <row r="11" spans="1:15" s="45" customFormat="1" ht="18.75" customHeight="1" x14ac:dyDescent="0.25">
      <c r="A11" s="125"/>
      <c r="B11" s="280" t="s">
        <v>149</v>
      </c>
      <c r="C11" s="280"/>
      <c r="D11" s="280"/>
      <c r="E11" s="280"/>
      <c r="M11" s="124"/>
      <c r="N11" s="123" t="s">
        <v>5</v>
      </c>
      <c r="O11" s="123" t="s">
        <v>41</v>
      </c>
    </row>
    <row r="12" spans="1:15" s="45" customFormat="1" ht="18.75" customHeight="1" x14ac:dyDescent="0.25">
      <c r="A12" s="125"/>
      <c r="B12" s="280" t="s">
        <v>150</v>
      </c>
      <c r="C12" s="280"/>
      <c r="D12" s="280"/>
      <c r="E12" s="280"/>
      <c r="K12" s="270" t="s">
        <v>147</v>
      </c>
      <c r="L12" s="270"/>
      <c r="M12" s="270"/>
      <c r="N12" s="100">
        <f>N45+N58+N67</f>
        <v>0</v>
      </c>
      <c r="O12" s="130">
        <f>SUM(N44+N57+N66)</f>
        <v>0</v>
      </c>
    </row>
    <row r="13" spans="1:15" s="45" customFormat="1" ht="18.75" customHeight="1" x14ac:dyDescent="0.3">
      <c r="A13" s="125"/>
      <c r="B13" s="269" t="s">
        <v>128</v>
      </c>
      <c r="C13" s="269"/>
      <c r="D13" s="269"/>
      <c r="E13" s="269"/>
      <c r="K13" s="270" t="s">
        <v>160</v>
      </c>
      <c r="L13" s="270"/>
      <c r="M13" s="270"/>
      <c r="N13" s="100">
        <f>N92+N101</f>
        <v>0</v>
      </c>
      <c r="O13" s="130">
        <f>N91+N100</f>
        <v>0</v>
      </c>
    </row>
    <row r="14" spans="1:15" s="45" customFormat="1" ht="18.75" customHeight="1" x14ac:dyDescent="0.3">
      <c r="A14" s="125"/>
      <c r="B14" s="280" t="s">
        <v>151</v>
      </c>
      <c r="C14" s="280"/>
      <c r="D14" s="280"/>
      <c r="E14" s="280"/>
      <c r="K14" s="270" t="s">
        <v>133</v>
      </c>
      <c r="L14" s="270"/>
      <c r="M14" s="270"/>
      <c r="N14" s="100">
        <f>N119+N128</f>
        <v>0</v>
      </c>
      <c r="O14" s="130">
        <f>N118+N127</f>
        <v>0</v>
      </c>
    </row>
    <row r="15" spans="1:15" s="45" customFormat="1" ht="18.75" customHeight="1" x14ac:dyDescent="0.25">
      <c r="A15" s="125"/>
      <c r="B15" s="280" t="s">
        <v>152</v>
      </c>
      <c r="C15" s="280"/>
      <c r="D15" s="280"/>
      <c r="E15" s="280"/>
      <c r="K15" s="272" t="s">
        <v>171</v>
      </c>
      <c r="L15" s="270"/>
      <c r="M15" s="270"/>
      <c r="N15" s="100">
        <f>N152+N167</f>
        <v>0</v>
      </c>
      <c r="O15" s="275">
        <f>N151+N166</f>
        <v>0</v>
      </c>
    </row>
    <row r="16" spans="1:15" s="45" customFormat="1" ht="18.75" customHeight="1" x14ac:dyDescent="0.25">
      <c r="A16" s="125"/>
      <c r="B16" s="269" t="s">
        <v>154</v>
      </c>
      <c r="C16" s="269"/>
      <c r="D16" s="269"/>
      <c r="E16" s="269"/>
      <c r="K16" s="270"/>
      <c r="L16" s="270"/>
      <c r="M16" s="270"/>
      <c r="N16" s="100">
        <f>N153+N168</f>
        <v>0</v>
      </c>
      <c r="O16" s="276"/>
    </row>
    <row r="17" spans="1:17" s="45" customFormat="1" ht="18.75" customHeight="1" x14ac:dyDescent="0.25">
      <c r="A17" s="125"/>
      <c r="B17" s="280" t="s">
        <v>156</v>
      </c>
      <c r="C17" s="280"/>
      <c r="D17" s="280"/>
      <c r="E17" s="280"/>
      <c r="K17" s="272" t="s">
        <v>223</v>
      </c>
      <c r="L17" s="270"/>
      <c r="M17" s="270"/>
      <c r="N17" s="106">
        <f>M184+P195</f>
        <v>0</v>
      </c>
      <c r="O17" s="273">
        <f>M183+P194</f>
        <v>0</v>
      </c>
    </row>
    <row r="18" spans="1:17" s="45" customFormat="1" ht="18.75" customHeight="1" x14ac:dyDescent="0.25">
      <c r="A18" s="125"/>
      <c r="B18" s="280" t="s">
        <v>155</v>
      </c>
      <c r="C18" s="280"/>
      <c r="D18" s="280"/>
      <c r="E18" s="280"/>
      <c r="K18" s="270"/>
      <c r="L18" s="270"/>
      <c r="M18" s="270"/>
      <c r="N18" s="106">
        <f>P196</f>
        <v>0</v>
      </c>
      <c r="O18" s="273"/>
    </row>
    <row r="19" spans="1:17" s="45" customFormat="1" ht="18.75" customHeight="1" x14ac:dyDescent="0.3">
      <c r="A19" s="125"/>
      <c r="B19" s="269" t="s">
        <v>157</v>
      </c>
      <c r="C19" s="269"/>
      <c r="D19" s="269"/>
      <c r="E19" s="269"/>
      <c r="K19" s="270" t="s">
        <v>272</v>
      </c>
      <c r="L19" s="270"/>
      <c r="M19" s="270"/>
      <c r="N19" s="100">
        <f>N222+N236</f>
        <v>0</v>
      </c>
      <c r="O19" s="130">
        <f>N221+N235</f>
        <v>0</v>
      </c>
    </row>
    <row r="20" spans="1:17" s="45" customFormat="1" ht="18.75" customHeight="1" x14ac:dyDescent="0.25">
      <c r="A20" s="125"/>
      <c r="B20" s="280" t="s">
        <v>158</v>
      </c>
      <c r="C20" s="280"/>
      <c r="D20" s="280"/>
      <c r="E20" s="280"/>
      <c r="N20" s="104" t="s">
        <v>12</v>
      </c>
      <c r="O20" s="105">
        <f>SUM(O12:O19)</f>
        <v>0</v>
      </c>
    </row>
    <row r="21" spans="1:17" s="45" customFormat="1" ht="18.75" customHeight="1" x14ac:dyDescent="0.3">
      <c r="A21" s="125"/>
      <c r="B21" s="280" t="s">
        <v>159</v>
      </c>
      <c r="C21" s="280"/>
      <c r="D21" s="280"/>
      <c r="E21" s="280"/>
    </row>
    <row r="22" spans="1:17" s="45" customFormat="1" ht="18.75" customHeight="1" x14ac:dyDescent="0.25">
      <c r="A22" s="125"/>
      <c r="B22" s="269" t="s">
        <v>207</v>
      </c>
      <c r="C22" s="269"/>
      <c r="D22" s="269"/>
      <c r="E22" s="269"/>
      <c r="F22" s="281" t="s">
        <v>229</v>
      </c>
      <c r="G22" s="281"/>
    </row>
    <row r="23" spans="1:17" s="45" customFormat="1" ht="18.75" customHeight="1" x14ac:dyDescent="0.3">
      <c r="A23" s="125"/>
      <c r="B23" s="269" t="s">
        <v>272</v>
      </c>
      <c r="C23" s="269"/>
      <c r="D23" s="269"/>
      <c r="E23" s="269"/>
      <c r="F23"/>
      <c r="G23"/>
      <c r="H23"/>
    </row>
    <row r="24" spans="1:17" ht="14.1" customHeight="1" x14ac:dyDescent="0.25">
      <c r="A24" s="23"/>
      <c r="B24" s="24"/>
      <c r="C24" s="24"/>
      <c r="D24" s="24"/>
      <c r="E24" s="24"/>
    </row>
    <row r="25" spans="1:17" ht="14.1" customHeight="1" x14ac:dyDescent="0.25">
      <c r="A25" s="23"/>
      <c r="B25" s="2"/>
      <c r="C25" s="12"/>
      <c r="D25" s="12"/>
    </row>
    <row r="26" spans="1:17" ht="30" customHeight="1" x14ac:dyDescent="0.25">
      <c r="A26" s="271" t="s">
        <v>118</v>
      </c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</row>
    <row r="28" spans="1:17" ht="14.1" customHeight="1" x14ac:dyDescent="0.2">
      <c r="K28" s="200" t="s">
        <v>45</v>
      </c>
      <c r="L28" s="200"/>
      <c r="M28" s="200"/>
      <c r="N28" s="200"/>
    </row>
    <row r="29" spans="1:17" ht="14.1" customHeight="1" x14ac:dyDescent="0.2">
      <c r="K29" s="234" t="s">
        <v>46</v>
      </c>
      <c r="L29" s="234"/>
      <c r="M29" s="234"/>
      <c r="N29" s="234"/>
    </row>
    <row r="30" spans="1:17" ht="14.1" customHeight="1" x14ac:dyDescent="0.25">
      <c r="K30" s="234" t="s">
        <v>52</v>
      </c>
      <c r="L30" s="234"/>
      <c r="M30" s="234"/>
      <c r="N30" s="234"/>
    </row>
    <row r="31" spans="1:17" ht="14.1" customHeight="1" x14ac:dyDescent="0.25">
      <c r="K31" s="234" t="s">
        <v>10</v>
      </c>
      <c r="L31" s="234"/>
      <c r="M31" s="234"/>
      <c r="N31" s="234"/>
    </row>
    <row r="32" spans="1:17" ht="14.1" customHeight="1" x14ac:dyDescent="0.25">
      <c r="K32" s="234" t="s">
        <v>11</v>
      </c>
      <c r="L32" s="234"/>
      <c r="M32" s="234"/>
      <c r="N32" s="234"/>
    </row>
    <row r="34" spans="3:14" ht="20.100000000000001" customHeight="1" x14ac:dyDescent="0.2">
      <c r="C34" s="194" t="s">
        <v>123</v>
      </c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</row>
    <row r="35" spans="3:14" ht="38.25" customHeight="1" x14ac:dyDescent="0.2">
      <c r="C35" s="189" t="s">
        <v>119</v>
      </c>
      <c r="D35" s="189" t="s">
        <v>120</v>
      </c>
      <c r="E35" s="189" t="s">
        <v>48</v>
      </c>
      <c r="F35" s="221"/>
      <c r="G35" s="221"/>
      <c r="H35" s="221"/>
      <c r="I35" s="189" t="s">
        <v>121</v>
      </c>
      <c r="J35" s="189"/>
      <c r="K35" s="189"/>
      <c r="L35" s="189"/>
      <c r="M35" s="189" t="s">
        <v>122</v>
      </c>
      <c r="N35" s="189" t="s">
        <v>12</v>
      </c>
    </row>
    <row r="36" spans="3:14" ht="14.1" customHeight="1" x14ac:dyDescent="0.2">
      <c r="C36" s="230"/>
      <c r="D36" s="230"/>
      <c r="E36" s="26" t="s">
        <v>1</v>
      </c>
      <c r="F36" s="26" t="s">
        <v>2</v>
      </c>
      <c r="G36" s="26" t="s">
        <v>3</v>
      </c>
      <c r="H36" s="26" t="s">
        <v>4</v>
      </c>
      <c r="I36" s="26" t="s">
        <v>50</v>
      </c>
      <c r="J36" s="26" t="s">
        <v>51</v>
      </c>
      <c r="K36" s="26" t="s">
        <v>3</v>
      </c>
      <c r="L36" s="26" t="s">
        <v>4</v>
      </c>
      <c r="M36" s="230"/>
      <c r="N36" s="230"/>
    </row>
    <row r="37" spans="3:14" ht="14.1" customHeight="1" x14ac:dyDescent="0.25">
      <c r="C37" s="109">
        <v>0</v>
      </c>
      <c r="D37" s="5">
        <v>10</v>
      </c>
      <c r="E37" s="29">
        <v>0.3</v>
      </c>
      <c r="F37" s="21">
        <v>59</v>
      </c>
      <c r="G37" s="113">
        <v>0</v>
      </c>
      <c r="H37" s="11">
        <f t="shared" ref="H37:H43" si="0">F37*(1-G37)*E37</f>
        <v>17.7</v>
      </c>
      <c r="I37" s="27">
        <v>7.4074074074074077E-3</v>
      </c>
      <c r="J37" s="11">
        <v>369</v>
      </c>
      <c r="K37" s="113">
        <v>0</v>
      </c>
      <c r="L37" s="11">
        <f t="shared" ref="L37:L43" si="1">J37*(1-K37)*I37</f>
        <v>2.7333333333333334</v>
      </c>
      <c r="M37" s="11">
        <f t="shared" ref="M37:M43" si="2">L37+H37</f>
        <v>20.433333333333334</v>
      </c>
      <c r="N37" s="11">
        <f t="shared" ref="N37:N43" si="3">M37*C37</f>
        <v>0</v>
      </c>
    </row>
    <row r="38" spans="3:14" ht="14.1" customHeight="1" x14ac:dyDescent="0.25">
      <c r="C38" s="109">
        <v>0</v>
      </c>
      <c r="D38" s="5">
        <v>20</v>
      </c>
      <c r="E38" s="29">
        <v>0.5</v>
      </c>
      <c r="F38" s="21">
        <v>59</v>
      </c>
      <c r="G38" s="17">
        <f t="shared" ref="G38:G43" si="4">$G$37</f>
        <v>0</v>
      </c>
      <c r="H38" s="11">
        <f t="shared" si="0"/>
        <v>29.5</v>
      </c>
      <c r="I38" s="28">
        <v>7.0000000000000001E-3</v>
      </c>
      <c r="J38" s="11">
        <v>369</v>
      </c>
      <c r="K38" s="17">
        <f t="shared" ref="K38:K43" si="5">$K$37</f>
        <v>0</v>
      </c>
      <c r="L38" s="11">
        <f t="shared" si="1"/>
        <v>2.5830000000000002</v>
      </c>
      <c r="M38" s="11">
        <f t="shared" si="2"/>
        <v>32.082999999999998</v>
      </c>
      <c r="N38" s="11">
        <f t="shared" si="3"/>
        <v>0</v>
      </c>
    </row>
    <row r="39" spans="3:14" ht="14.1" customHeight="1" x14ac:dyDescent="0.25">
      <c r="C39" s="109">
        <v>0</v>
      </c>
      <c r="D39" s="5">
        <v>30</v>
      </c>
      <c r="E39" s="29">
        <v>0.8</v>
      </c>
      <c r="F39" s="21">
        <v>59</v>
      </c>
      <c r="G39" s="17">
        <f t="shared" si="4"/>
        <v>0</v>
      </c>
      <c r="H39" s="11">
        <f t="shared" si="0"/>
        <v>47.2</v>
      </c>
      <c r="I39" s="28">
        <v>7.0000000000000001E-3</v>
      </c>
      <c r="J39" s="11">
        <v>369</v>
      </c>
      <c r="K39" s="17">
        <f t="shared" si="5"/>
        <v>0</v>
      </c>
      <c r="L39" s="11">
        <f t="shared" si="1"/>
        <v>2.5830000000000002</v>
      </c>
      <c r="M39" s="11">
        <f t="shared" si="2"/>
        <v>49.783000000000001</v>
      </c>
      <c r="N39" s="11">
        <f t="shared" si="3"/>
        <v>0</v>
      </c>
    </row>
    <row r="40" spans="3:14" ht="14.1" customHeight="1" x14ac:dyDescent="0.25">
      <c r="C40" s="109">
        <v>0</v>
      </c>
      <c r="D40" s="15">
        <v>40</v>
      </c>
      <c r="E40" s="29">
        <v>1</v>
      </c>
      <c r="F40" s="21">
        <v>59</v>
      </c>
      <c r="G40" s="17">
        <f t="shared" si="4"/>
        <v>0</v>
      </c>
      <c r="H40" s="11">
        <f t="shared" si="0"/>
        <v>59</v>
      </c>
      <c r="I40" s="28">
        <v>7.0000000000000001E-3</v>
      </c>
      <c r="J40" s="11">
        <v>369</v>
      </c>
      <c r="K40" s="17">
        <f t="shared" si="5"/>
        <v>0</v>
      </c>
      <c r="L40" s="11">
        <f t="shared" si="1"/>
        <v>2.5830000000000002</v>
      </c>
      <c r="M40" s="11">
        <f t="shared" si="2"/>
        <v>61.582999999999998</v>
      </c>
      <c r="N40" s="11">
        <f t="shared" si="3"/>
        <v>0</v>
      </c>
    </row>
    <row r="41" spans="3:14" ht="14.1" customHeight="1" x14ac:dyDescent="0.25">
      <c r="C41" s="109">
        <v>0</v>
      </c>
      <c r="D41" s="15">
        <v>50</v>
      </c>
      <c r="E41" s="29">
        <v>1.3</v>
      </c>
      <c r="F41" s="21">
        <v>59</v>
      </c>
      <c r="G41" s="17">
        <f t="shared" si="4"/>
        <v>0</v>
      </c>
      <c r="H41" s="11">
        <f t="shared" si="0"/>
        <v>76.7</v>
      </c>
      <c r="I41" s="28">
        <v>1.4E-2</v>
      </c>
      <c r="J41" s="11">
        <v>369</v>
      </c>
      <c r="K41" s="17">
        <f t="shared" si="5"/>
        <v>0</v>
      </c>
      <c r="L41" s="11">
        <f t="shared" si="1"/>
        <v>5.1660000000000004</v>
      </c>
      <c r="M41" s="11">
        <f t="shared" si="2"/>
        <v>81.866</v>
      </c>
      <c r="N41" s="11">
        <f t="shared" si="3"/>
        <v>0</v>
      </c>
    </row>
    <row r="42" spans="3:14" ht="14.1" customHeight="1" x14ac:dyDescent="0.2">
      <c r="C42" s="109">
        <v>0</v>
      </c>
      <c r="D42" s="15">
        <v>75</v>
      </c>
      <c r="E42" s="29">
        <v>1.9</v>
      </c>
      <c r="F42" s="21">
        <v>59</v>
      </c>
      <c r="G42" s="17">
        <f t="shared" si="4"/>
        <v>0</v>
      </c>
      <c r="H42" s="11">
        <f t="shared" si="0"/>
        <v>112.1</v>
      </c>
      <c r="I42" s="28">
        <v>1.4E-2</v>
      </c>
      <c r="J42" s="11">
        <v>369</v>
      </c>
      <c r="K42" s="17">
        <f t="shared" si="5"/>
        <v>0</v>
      </c>
      <c r="L42" s="11">
        <f t="shared" si="1"/>
        <v>5.1660000000000004</v>
      </c>
      <c r="M42" s="11">
        <f t="shared" si="2"/>
        <v>117.26599999999999</v>
      </c>
      <c r="N42" s="11">
        <f t="shared" si="3"/>
        <v>0</v>
      </c>
    </row>
    <row r="43" spans="3:14" ht="14.1" customHeight="1" x14ac:dyDescent="0.2">
      <c r="C43" s="109">
        <v>0</v>
      </c>
      <c r="D43" s="15">
        <v>100</v>
      </c>
      <c r="E43" s="29">
        <v>2.5</v>
      </c>
      <c r="F43" s="21">
        <v>59</v>
      </c>
      <c r="G43" s="17">
        <f t="shared" si="4"/>
        <v>0</v>
      </c>
      <c r="H43" s="11">
        <f t="shared" si="0"/>
        <v>147.5</v>
      </c>
      <c r="I43" s="28">
        <v>2.1000000000000001E-2</v>
      </c>
      <c r="J43" s="11">
        <v>369</v>
      </c>
      <c r="K43" s="17">
        <f t="shared" si="5"/>
        <v>0</v>
      </c>
      <c r="L43" s="11">
        <f t="shared" si="1"/>
        <v>7.7490000000000006</v>
      </c>
      <c r="M43" s="11">
        <f t="shared" si="2"/>
        <v>155.249</v>
      </c>
      <c r="N43" s="11">
        <f t="shared" si="3"/>
        <v>0</v>
      </c>
    </row>
    <row r="44" spans="3:14" ht="14.1" customHeight="1" x14ac:dyDescent="0.25">
      <c r="C44"/>
      <c r="D44" s="47"/>
      <c r="E44" s="48"/>
      <c r="F44" s="49"/>
      <c r="G44" s="50"/>
      <c r="H44" s="51"/>
      <c r="I44" s="52"/>
      <c r="J44" s="51"/>
      <c r="K44" s="50"/>
      <c r="L44" s="225" t="s">
        <v>12</v>
      </c>
      <c r="M44" s="226"/>
      <c r="N44" s="4">
        <f>SUM($N$37:$N$43)</f>
        <v>0</v>
      </c>
    </row>
    <row r="45" spans="3:14" ht="14.1" customHeight="1" x14ac:dyDescent="0.25">
      <c r="C45"/>
      <c r="D45" s="47"/>
      <c r="E45" s="48"/>
      <c r="F45" s="49"/>
      <c r="G45" s="50"/>
      <c r="H45" s="51"/>
      <c r="I45" s="52"/>
      <c r="J45" s="51"/>
      <c r="K45" s="50"/>
      <c r="L45" s="225" t="s">
        <v>161</v>
      </c>
      <c r="M45" s="226"/>
      <c r="N45" s="103">
        <f>SUMPRODUCT(C37:C43,E37:E43)</f>
        <v>0</v>
      </c>
    </row>
    <row r="47" spans="3:14" ht="20.100000000000001" customHeight="1" x14ac:dyDescent="0.2">
      <c r="C47" s="194" t="s">
        <v>124</v>
      </c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</row>
    <row r="48" spans="3:14" ht="40.5" customHeight="1" x14ac:dyDescent="0.2">
      <c r="C48" s="189" t="s">
        <v>119</v>
      </c>
      <c r="D48" s="189" t="s">
        <v>120</v>
      </c>
      <c r="E48" s="189" t="s">
        <v>48</v>
      </c>
      <c r="F48" s="221"/>
      <c r="G48" s="221"/>
      <c r="H48" s="221"/>
      <c r="I48" s="189" t="s">
        <v>125</v>
      </c>
      <c r="J48" s="189"/>
      <c r="K48" s="189"/>
      <c r="L48" s="189"/>
      <c r="M48" s="189" t="s">
        <v>122</v>
      </c>
      <c r="N48" s="189" t="s">
        <v>12</v>
      </c>
    </row>
    <row r="49" spans="3:14" ht="14.1" customHeight="1" x14ac:dyDescent="0.2">
      <c r="C49" s="230"/>
      <c r="D49" s="230"/>
      <c r="E49" s="26" t="s">
        <v>1</v>
      </c>
      <c r="F49" s="26" t="s">
        <v>2</v>
      </c>
      <c r="G49" s="26" t="s">
        <v>3</v>
      </c>
      <c r="H49" s="26" t="s">
        <v>4</v>
      </c>
      <c r="I49" s="26" t="s">
        <v>50</v>
      </c>
      <c r="J49" s="26" t="s">
        <v>51</v>
      </c>
      <c r="K49" s="26" t="s">
        <v>3</v>
      </c>
      <c r="L49" s="26" t="s">
        <v>4</v>
      </c>
      <c r="M49" s="230"/>
      <c r="N49" s="230"/>
    </row>
    <row r="50" spans="3:14" ht="14.1" customHeight="1" x14ac:dyDescent="0.2">
      <c r="C50" s="109">
        <v>0</v>
      </c>
      <c r="D50" s="5">
        <v>10</v>
      </c>
      <c r="E50" s="29">
        <v>0.41</v>
      </c>
      <c r="F50" s="21">
        <v>59</v>
      </c>
      <c r="G50" s="113">
        <v>0</v>
      </c>
      <c r="H50" s="11">
        <f t="shared" ref="H50:H56" si="6">F50*(1-G50)*E50</f>
        <v>24.189999999999998</v>
      </c>
      <c r="I50" s="30">
        <v>0.02</v>
      </c>
      <c r="J50" s="11">
        <v>7.43</v>
      </c>
      <c r="K50" s="113">
        <v>0</v>
      </c>
      <c r="L50" s="11">
        <f t="shared" ref="L50:L56" si="7">J50*(1-K50)*I50</f>
        <v>0.14860000000000001</v>
      </c>
      <c r="M50" s="11">
        <f t="shared" ref="M50:M56" si="8">L50+H50</f>
        <v>24.338599999999996</v>
      </c>
      <c r="N50" s="11">
        <f t="shared" ref="N50:N56" si="9">M50*C50</f>
        <v>0</v>
      </c>
    </row>
    <row r="51" spans="3:14" ht="14.1" customHeight="1" x14ac:dyDescent="0.2">
      <c r="C51" s="109">
        <v>0</v>
      </c>
      <c r="D51" s="5">
        <v>20</v>
      </c>
      <c r="E51" s="29">
        <v>0.83</v>
      </c>
      <c r="F51" s="21">
        <v>59</v>
      </c>
      <c r="G51" s="17">
        <f t="shared" ref="G51:G56" si="10">$G$50</f>
        <v>0</v>
      </c>
      <c r="H51" s="11">
        <f t="shared" si="6"/>
        <v>48.97</v>
      </c>
      <c r="I51" s="20">
        <v>0.03</v>
      </c>
      <c r="J51" s="11">
        <v>7.43</v>
      </c>
      <c r="K51" s="17">
        <f t="shared" ref="K51:K56" si="11">$K$50</f>
        <v>0</v>
      </c>
      <c r="L51" s="11">
        <f t="shared" si="7"/>
        <v>0.22289999999999999</v>
      </c>
      <c r="M51" s="11">
        <f t="shared" si="8"/>
        <v>49.192900000000002</v>
      </c>
      <c r="N51" s="11">
        <f t="shared" si="9"/>
        <v>0</v>
      </c>
    </row>
    <row r="52" spans="3:14" ht="14.1" customHeight="1" x14ac:dyDescent="0.2">
      <c r="C52" s="109">
        <v>0</v>
      </c>
      <c r="D52" s="5">
        <v>30</v>
      </c>
      <c r="E52" s="29">
        <v>1.25</v>
      </c>
      <c r="F52" s="21">
        <v>59</v>
      </c>
      <c r="G52" s="17">
        <f t="shared" si="10"/>
        <v>0</v>
      </c>
      <c r="H52" s="11">
        <f t="shared" si="6"/>
        <v>73.75</v>
      </c>
      <c r="I52" s="20">
        <v>0.05</v>
      </c>
      <c r="J52" s="11">
        <v>7.43</v>
      </c>
      <c r="K52" s="17">
        <f t="shared" si="11"/>
        <v>0</v>
      </c>
      <c r="L52" s="11">
        <f t="shared" si="7"/>
        <v>0.3715</v>
      </c>
      <c r="M52" s="11">
        <f t="shared" si="8"/>
        <v>74.121499999999997</v>
      </c>
      <c r="N52" s="11">
        <f t="shared" si="9"/>
        <v>0</v>
      </c>
    </row>
    <row r="53" spans="3:14" ht="14.1" customHeight="1" x14ac:dyDescent="0.2">
      <c r="C53" s="109">
        <v>0</v>
      </c>
      <c r="D53" s="15">
        <v>40</v>
      </c>
      <c r="E53" s="29">
        <v>1.6666666666666667</v>
      </c>
      <c r="F53" s="21">
        <v>59</v>
      </c>
      <c r="G53" s="17">
        <f t="shared" si="10"/>
        <v>0</v>
      </c>
      <c r="H53" s="11">
        <f t="shared" si="6"/>
        <v>98.333333333333343</v>
      </c>
      <c r="I53" s="20">
        <v>0.06</v>
      </c>
      <c r="J53" s="11">
        <v>7.43</v>
      </c>
      <c r="K53" s="17">
        <f t="shared" si="11"/>
        <v>0</v>
      </c>
      <c r="L53" s="11">
        <f t="shared" si="7"/>
        <v>0.44579999999999997</v>
      </c>
      <c r="M53" s="11">
        <f t="shared" si="8"/>
        <v>98.779133333333348</v>
      </c>
      <c r="N53" s="11">
        <f t="shared" si="9"/>
        <v>0</v>
      </c>
    </row>
    <row r="54" spans="3:14" ht="14.1" customHeight="1" x14ac:dyDescent="0.2">
      <c r="C54" s="109">
        <v>0</v>
      </c>
      <c r="D54" s="15">
        <v>50</v>
      </c>
      <c r="E54" s="29">
        <v>2.0833333333333335</v>
      </c>
      <c r="F54" s="21">
        <v>59</v>
      </c>
      <c r="G54" s="17">
        <f t="shared" si="10"/>
        <v>0</v>
      </c>
      <c r="H54" s="11">
        <f t="shared" si="6"/>
        <v>122.91666666666667</v>
      </c>
      <c r="I54" s="20">
        <v>7.0000000000000007E-2</v>
      </c>
      <c r="J54" s="11">
        <v>7.43</v>
      </c>
      <c r="K54" s="17">
        <f t="shared" si="11"/>
        <v>0</v>
      </c>
      <c r="L54" s="11">
        <f t="shared" si="7"/>
        <v>0.52010000000000001</v>
      </c>
      <c r="M54" s="11">
        <f t="shared" si="8"/>
        <v>123.43676666666667</v>
      </c>
      <c r="N54" s="11">
        <f t="shared" si="9"/>
        <v>0</v>
      </c>
    </row>
    <row r="55" spans="3:14" ht="14.1" customHeight="1" x14ac:dyDescent="0.2">
      <c r="C55" s="109">
        <v>0</v>
      </c>
      <c r="D55" s="15">
        <v>75</v>
      </c>
      <c r="E55" s="29">
        <v>3.125</v>
      </c>
      <c r="F55" s="21">
        <v>59</v>
      </c>
      <c r="G55" s="17">
        <f t="shared" si="10"/>
        <v>0</v>
      </c>
      <c r="H55" s="11">
        <f t="shared" si="6"/>
        <v>184.375</v>
      </c>
      <c r="I55" s="20">
        <v>0.1</v>
      </c>
      <c r="J55" s="11">
        <v>7.43</v>
      </c>
      <c r="K55" s="17">
        <f t="shared" si="11"/>
        <v>0</v>
      </c>
      <c r="L55" s="11">
        <f t="shared" si="7"/>
        <v>0.74299999999999999</v>
      </c>
      <c r="M55" s="11">
        <f t="shared" si="8"/>
        <v>185.11799999999999</v>
      </c>
      <c r="N55" s="11">
        <f t="shared" si="9"/>
        <v>0</v>
      </c>
    </row>
    <row r="56" spans="3:14" ht="14.1" customHeight="1" x14ac:dyDescent="0.2">
      <c r="C56" s="109">
        <v>0</v>
      </c>
      <c r="D56" s="15">
        <v>100</v>
      </c>
      <c r="E56" s="29">
        <v>4.166666666666667</v>
      </c>
      <c r="F56" s="21">
        <v>59</v>
      </c>
      <c r="G56" s="17">
        <f t="shared" si="10"/>
        <v>0</v>
      </c>
      <c r="H56" s="11">
        <f t="shared" si="6"/>
        <v>245.83333333333334</v>
      </c>
      <c r="I56" s="20">
        <v>0.2</v>
      </c>
      <c r="J56" s="11">
        <v>7.43</v>
      </c>
      <c r="K56" s="17">
        <f t="shared" si="11"/>
        <v>0</v>
      </c>
      <c r="L56" s="11">
        <f t="shared" si="7"/>
        <v>1.486</v>
      </c>
      <c r="M56" s="11">
        <f t="shared" si="8"/>
        <v>247.31933333333333</v>
      </c>
      <c r="N56" s="11">
        <f t="shared" si="9"/>
        <v>0</v>
      </c>
    </row>
    <row r="57" spans="3:14" ht="14.1" customHeight="1" x14ac:dyDescent="0.25">
      <c r="C57"/>
      <c r="D57" s="47"/>
      <c r="E57" s="48"/>
      <c r="F57" s="49"/>
      <c r="G57" s="50"/>
      <c r="H57" s="51"/>
      <c r="I57" s="53"/>
      <c r="J57" s="51"/>
      <c r="K57" s="50"/>
      <c r="L57" s="225" t="s">
        <v>12</v>
      </c>
      <c r="M57" s="226"/>
      <c r="N57" s="4">
        <f>SUM($N$50:$N$56)</f>
        <v>0</v>
      </c>
    </row>
    <row r="58" spans="3:14" ht="14.1" customHeight="1" x14ac:dyDescent="0.25">
      <c r="C58"/>
      <c r="D58" s="47"/>
      <c r="E58" s="48"/>
      <c r="F58" s="49"/>
      <c r="G58" s="50"/>
      <c r="H58" s="51"/>
      <c r="I58" s="53"/>
      <c r="J58" s="51"/>
      <c r="K58" s="50"/>
      <c r="L58" s="225" t="s">
        <v>161</v>
      </c>
      <c r="M58" s="226"/>
      <c r="N58" s="103">
        <f>SUMPRODUCT(C50:C56,E50:E56)</f>
        <v>0</v>
      </c>
    </row>
    <row r="60" spans="3:14" ht="20.100000000000001" customHeight="1" x14ac:dyDescent="0.2">
      <c r="C60" s="194" t="s">
        <v>126</v>
      </c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3:14" ht="38.25" customHeight="1" x14ac:dyDescent="0.2">
      <c r="C61" s="189" t="s">
        <v>119</v>
      </c>
      <c r="D61" s="189" t="s">
        <v>120</v>
      </c>
      <c r="E61" s="189" t="s">
        <v>48</v>
      </c>
      <c r="F61" s="221"/>
      <c r="G61" s="221"/>
      <c r="H61" s="221"/>
      <c r="I61" s="189" t="s">
        <v>125</v>
      </c>
      <c r="J61" s="189"/>
      <c r="K61" s="189"/>
      <c r="L61" s="189"/>
      <c r="M61" s="189" t="s">
        <v>122</v>
      </c>
      <c r="N61" s="189" t="s">
        <v>12</v>
      </c>
    </row>
    <row r="62" spans="3:14" ht="14.1" customHeight="1" x14ac:dyDescent="0.2">
      <c r="C62" s="230"/>
      <c r="D62" s="230"/>
      <c r="E62" s="26" t="s">
        <v>1</v>
      </c>
      <c r="F62" s="26" t="s">
        <v>2</v>
      </c>
      <c r="G62" s="26" t="s">
        <v>3</v>
      </c>
      <c r="H62" s="26" t="s">
        <v>4</v>
      </c>
      <c r="I62" s="26" t="s">
        <v>50</v>
      </c>
      <c r="J62" s="26" t="s">
        <v>51</v>
      </c>
      <c r="K62" s="26" t="s">
        <v>3</v>
      </c>
      <c r="L62" s="26" t="s">
        <v>4</v>
      </c>
      <c r="M62" s="230"/>
      <c r="N62" s="230"/>
    </row>
    <row r="63" spans="3:14" ht="14.1" customHeight="1" x14ac:dyDescent="0.2">
      <c r="C63" s="109">
        <v>0</v>
      </c>
      <c r="D63" s="5">
        <v>10</v>
      </c>
      <c r="E63" s="29">
        <v>0.41</v>
      </c>
      <c r="F63" s="21">
        <v>59</v>
      </c>
      <c r="G63" s="113">
        <v>0</v>
      </c>
      <c r="H63" s="11">
        <f>F63*(1-G63)*E63</f>
        <v>24.189999999999998</v>
      </c>
      <c r="I63" s="30">
        <v>0.02</v>
      </c>
      <c r="J63" s="11">
        <v>7.43</v>
      </c>
      <c r="K63" s="113">
        <v>0</v>
      </c>
      <c r="L63" s="11">
        <f>J63*(1-K63)*I63</f>
        <v>0.14860000000000001</v>
      </c>
      <c r="M63" s="11">
        <f>L63+H63</f>
        <v>24.338599999999996</v>
      </c>
      <c r="N63" s="11">
        <f>M63*C63</f>
        <v>0</v>
      </c>
    </row>
    <row r="64" spans="3:14" ht="14.1" customHeight="1" x14ac:dyDescent="0.2">
      <c r="C64" s="109">
        <v>0</v>
      </c>
      <c r="D64" s="5">
        <v>20</v>
      </c>
      <c r="E64" s="29">
        <v>0.83</v>
      </c>
      <c r="F64" s="21">
        <v>59</v>
      </c>
      <c r="G64" s="17">
        <f>$G$63</f>
        <v>0</v>
      </c>
      <c r="H64" s="11">
        <f>F64*(1-G64)*E64</f>
        <v>48.97</v>
      </c>
      <c r="I64" s="20">
        <v>0.03</v>
      </c>
      <c r="J64" s="11">
        <v>7.43</v>
      </c>
      <c r="K64" s="17">
        <f>$K$63</f>
        <v>0</v>
      </c>
      <c r="L64" s="11">
        <f>J64*(1-K64)*I64</f>
        <v>0.22289999999999999</v>
      </c>
      <c r="M64" s="11">
        <f>L64+H64</f>
        <v>49.192900000000002</v>
      </c>
      <c r="N64" s="11">
        <f>M64*C64</f>
        <v>0</v>
      </c>
    </row>
    <row r="65" spans="1:17" ht="14.1" customHeight="1" x14ac:dyDescent="0.2">
      <c r="C65" s="109">
        <v>0</v>
      </c>
      <c r="D65" s="5">
        <v>30</v>
      </c>
      <c r="E65" s="29">
        <v>1.25</v>
      </c>
      <c r="F65" s="21">
        <v>59</v>
      </c>
      <c r="G65" s="17">
        <f>$G$63</f>
        <v>0</v>
      </c>
      <c r="H65" s="11">
        <f>F65*(1-G65)*E65</f>
        <v>73.75</v>
      </c>
      <c r="I65" s="20">
        <v>0.05</v>
      </c>
      <c r="J65" s="11">
        <v>7.43</v>
      </c>
      <c r="K65" s="17">
        <f>$K$63</f>
        <v>0</v>
      </c>
      <c r="L65" s="11">
        <f>J65*(1-K65)*I65</f>
        <v>0.3715</v>
      </c>
      <c r="M65" s="11">
        <f>L65+H65</f>
        <v>74.121499999999997</v>
      </c>
      <c r="N65" s="11">
        <f>M65*C65</f>
        <v>0</v>
      </c>
    </row>
    <row r="66" spans="1:17" ht="14.1" customHeight="1" x14ac:dyDescent="0.25">
      <c r="C66"/>
      <c r="D66" s="54"/>
      <c r="E66" s="48"/>
      <c r="F66" s="49"/>
      <c r="G66" s="50"/>
      <c r="H66" s="51"/>
      <c r="I66" s="53"/>
      <c r="J66" s="51"/>
      <c r="K66" s="50"/>
      <c r="L66" s="225" t="s">
        <v>12</v>
      </c>
      <c r="M66" s="226"/>
      <c r="N66" s="4">
        <f>SUM($N$63:$N$65)</f>
        <v>0</v>
      </c>
    </row>
    <row r="67" spans="1:17" ht="14.1" customHeight="1" x14ac:dyDescent="0.25">
      <c r="B67" s="214" t="s">
        <v>224</v>
      </c>
      <c r="C67" s="214"/>
      <c r="D67" s="214"/>
      <c r="L67" s="225" t="s">
        <v>161</v>
      </c>
      <c r="M67" s="226"/>
      <c r="N67" s="103">
        <f>SUMPRODUCT(C63:C65,E63:E65)</f>
        <v>0</v>
      </c>
    </row>
    <row r="69" spans="1:17" ht="30" customHeight="1" x14ac:dyDescent="0.2">
      <c r="A69" s="271" t="s">
        <v>127</v>
      </c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</row>
    <row r="72" spans="1:17" ht="14.1" customHeight="1" x14ac:dyDescent="0.2">
      <c r="J72" s="9" t="s">
        <v>54</v>
      </c>
    </row>
    <row r="73" spans="1:17" ht="14.1" customHeight="1" x14ac:dyDescent="0.2">
      <c r="J73" s="9" t="s">
        <v>146</v>
      </c>
    </row>
    <row r="74" spans="1:17" ht="14.1" customHeight="1" x14ac:dyDescent="0.2">
      <c r="J74" s="9" t="s">
        <v>139</v>
      </c>
    </row>
    <row r="75" spans="1:17" ht="14.1" customHeight="1" x14ac:dyDescent="0.2">
      <c r="J75" s="9" t="s">
        <v>10</v>
      </c>
    </row>
    <row r="76" spans="1:17" ht="14.1" customHeight="1" x14ac:dyDescent="0.2">
      <c r="J76" s="9" t="s">
        <v>56</v>
      </c>
    </row>
    <row r="77" spans="1:17" ht="20.100000000000001" customHeight="1" x14ac:dyDescent="0.2"/>
    <row r="78" spans="1:17" ht="24.75" customHeight="1" x14ac:dyDescent="0.2">
      <c r="C78" s="209" t="s">
        <v>129</v>
      </c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</row>
    <row r="79" spans="1:17" ht="31.5" customHeight="1" x14ac:dyDescent="0.2">
      <c r="C79" s="189" t="s">
        <v>130</v>
      </c>
      <c r="D79" s="189" t="s">
        <v>120</v>
      </c>
      <c r="E79" s="189" t="s">
        <v>128</v>
      </c>
      <c r="F79" s="221"/>
      <c r="G79" s="221"/>
      <c r="H79" s="221"/>
      <c r="I79" s="189" t="s">
        <v>125</v>
      </c>
      <c r="J79" s="189"/>
      <c r="K79" s="189"/>
      <c r="L79" s="189"/>
      <c r="M79" s="189" t="s">
        <v>122</v>
      </c>
      <c r="N79" s="189" t="s">
        <v>12</v>
      </c>
    </row>
    <row r="80" spans="1:17" ht="24" customHeight="1" x14ac:dyDescent="0.2">
      <c r="C80" s="230"/>
      <c r="D80" s="230"/>
      <c r="E80" s="26" t="s">
        <v>1</v>
      </c>
      <c r="F80" s="26" t="s">
        <v>2</v>
      </c>
      <c r="G80" s="26" t="s">
        <v>3</v>
      </c>
      <c r="H80" s="26" t="s">
        <v>4</v>
      </c>
      <c r="I80" s="26" t="s">
        <v>50</v>
      </c>
      <c r="J80" s="26" t="s">
        <v>51</v>
      </c>
      <c r="K80" s="26" t="s">
        <v>3</v>
      </c>
      <c r="L80" s="26" t="s">
        <v>4</v>
      </c>
      <c r="M80" s="230"/>
      <c r="N80" s="230"/>
    </row>
    <row r="81" spans="3:14" ht="14.1" customHeight="1" x14ac:dyDescent="0.2">
      <c r="C81" s="109">
        <v>0</v>
      </c>
      <c r="D81" s="5">
        <v>10</v>
      </c>
      <c r="E81" s="29">
        <v>0.9</v>
      </c>
      <c r="F81" s="31">
        <v>22.5</v>
      </c>
      <c r="G81" s="113">
        <v>0</v>
      </c>
      <c r="H81" s="11">
        <f>F81*(1-G81)*E81</f>
        <v>20.25</v>
      </c>
      <c r="I81" s="30">
        <v>1.7500000000000002E-2</v>
      </c>
      <c r="J81" s="32">
        <v>7.43</v>
      </c>
      <c r="K81" s="113">
        <v>0</v>
      </c>
      <c r="L81" s="11">
        <f>J81*(1-K81)*I81</f>
        <v>0.130025</v>
      </c>
      <c r="M81" s="11">
        <f>L81+H81</f>
        <v>20.380025</v>
      </c>
      <c r="N81" s="11">
        <f>M81*C81</f>
        <v>0</v>
      </c>
    </row>
    <row r="82" spans="3:14" ht="14.1" customHeight="1" x14ac:dyDescent="0.2">
      <c r="C82" s="109">
        <v>0</v>
      </c>
      <c r="D82" s="5">
        <v>20</v>
      </c>
      <c r="E82" s="29">
        <v>1.7</v>
      </c>
      <c r="F82" s="31">
        <v>22.5</v>
      </c>
      <c r="G82" s="17">
        <f t="shared" ref="G82:G90" si="12">$G$81</f>
        <v>0</v>
      </c>
      <c r="H82" s="11">
        <f t="shared" ref="H82:H90" si="13">F82*(1-G82)*E82</f>
        <v>38.25</v>
      </c>
      <c r="I82" s="20">
        <v>3.5000000000000003E-2</v>
      </c>
      <c r="J82" s="32">
        <v>7.43</v>
      </c>
      <c r="K82" s="17">
        <f t="shared" ref="K82:K90" si="14">$K$81</f>
        <v>0</v>
      </c>
      <c r="L82" s="11">
        <f t="shared" ref="L82:L90" si="15">J82*(1-K82)*I82</f>
        <v>0.26005</v>
      </c>
      <c r="M82" s="11">
        <f t="shared" ref="M82:M90" si="16">L82+H82</f>
        <v>38.51005</v>
      </c>
      <c r="N82" s="11">
        <f t="shared" ref="N82:N90" si="17">M82*C82</f>
        <v>0</v>
      </c>
    </row>
    <row r="83" spans="3:14" ht="14.1" customHeight="1" x14ac:dyDescent="0.2">
      <c r="C83" s="109">
        <v>0</v>
      </c>
      <c r="D83" s="5">
        <v>30</v>
      </c>
      <c r="E83" s="29">
        <v>2.5</v>
      </c>
      <c r="F83" s="31">
        <v>22.5</v>
      </c>
      <c r="G83" s="17">
        <f t="shared" si="12"/>
        <v>0</v>
      </c>
      <c r="H83" s="11">
        <f t="shared" si="13"/>
        <v>56.25</v>
      </c>
      <c r="I83" s="20">
        <v>5.2500000000000005E-2</v>
      </c>
      <c r="J83" s="32">
        <v>7.43</v>
      </c>
      <c r="K83" s="17">
        <f t="shared" si="14"/>
        <v>0</v>
      </c>
      <c r="L83" s="11">
        <f t="shared" si="15"/>
        <v>0.39007500000000001</v>
      </c>
      <c r="M83" s="11">
        <f t="shared" si="16"/>
        <v>56.640075000000003</v>
      </c>
      <c r="N83" s="11">
        <f t="shared" si="17"/>
        <v>0</v>
      </c>
    </row>
    <row r="84" spans="3:14" ht="14.1" customHeight="1" x14ac:dyDescent="0.2">
      <c r="C84" s="109">
        <v>0</v>
      </c>
      <c r="D84" s="15">
        <v>40</v>
      </c>
      <c r="E84" s="29">
        <v>3.3</v>
      </c>
      <c r="F84" s="31">
        <v>22.5</v>
      </c>
      <c r="G84" s="17">
        <f t="shared" si="12"/>
        <v>0</v>
      </c>
      <c r="H84" s="11">
        <f t="shared" si="13"/>
        <v>74.25</v>
      </c>
      <c r="I84" s="20">
        <v>7.0000000000000007E-2</v>
      </c>
      <c r="J84" s="32">
        <v>7.43</v>
      </c>
      <c r="K84" s="17">
        <f t="shared" si="14"/>
        <v>0</v>
      </c>
      <c r="L84" s="11">
        <f t="shared" si="15"/>
        <v>0.52010000000000001</v>
      </c>
      <c r="M84" s="11">
        <f t="shared" si="16"/>
        <v>74.770099999999999</v>
      </c>
      <c r="N84" s="11">
        <f t="shared" si="17"/>
        <v>0</v>
      </c>
    </row>
    <row r="85" spans="3:14" ht="14.1" customHeight="1" x14ac:dyDescent="0.2">
      <c r="C85" s="109">
        <v>0</v>
      </c>
      <c r="D85" s="15">
        <v>50</v>
      </c>
      <c r="E85" s="29">
        <v>4.0999999999999996</v>
      </c>
      <c r="F85" s="31">
        <v>22.5</v>
      </c>
      <c r="G85" s="17">
        <f t="shared" si="12"/>
        <v>0</v>
      </c>
      <c r="H85" s="11">
        <f t="shared" si="13"/>
        <v>92.249999999999986</v>
      </c>
      <c r="I85" s="20">
        <v>8.7500000000000008E-2</v>
      </c>
      <c r="J85" s="32">
        <v>7.43</v>
      </c>
      <c r="K85" s="17">
        <f t="shared" si="14"/>
        <v>0</v>
      </c>
      <c r="L85" s="11">
        <f t="shared" si="15"/>
        <v>0.65012500000000006</v>
      </c>
      <c r="M85" s="11">
        <f t="shared" si="16"/>
        <v>92.900124999999989</v>
      </c>
      <c r="N85" s="11">
        <f t="shared" si="17"/>
        <v>0</v>
      </c>
    </row>
    <row r="86" spans="3:14" ht="14.1" customHeight="1" x14ac:dyDescent="0.2">
      <c r="C86" s="109">
        <v>0</v>
      </c>
      <c r="D86" s="15">
        <v>60</v>
      </c>
      <c r="E86" s="29">
        <v>4.9000000000000004</v>
      </c>
      <c r="F86" s="31">
        <v>22.5</v>
      </c>
      <c r="G86" s="17">
        <f t="shared" si="12"/>
        <v>0</v>
      </c>
      <c r="H86" s="11">
        <f t="shared" si="13"/>
        <v>110.25000000000001</v>
      </c>
      <c r="I86" s="20">
        <v>0.10500000000000001</v>
      </c>
      <c r="J86" s="32">
        <v>7.43</v>
      </c>
      <c r="K86" s="17">
        <f t="shared" si="14"/>
        <v>0</v>
      </c>
      <c r="L86" s="11">
        <f t="shared" si="15"/>
        <v>0.78015000000000001</v>
      </c>
      <c r="M86" s="11">
        <f t="shared" si="16"/>
        <v>111.03015000000002</v>
      </c>
      <c r="N86" s="11">
        <f t="shared" si="17"/>
        <v>0</v>
      </c>
    </row>
    <row r="87" spans="3:14" ht="14.1" customHeight="1" x14ac:dyDescent="0.2">
      <c r="C87" s="109">
        <v>0</v>
      </c>
      <c r="D87" s="15">
        <v>70</v>
      </c>
      <c r="E87" s="29">
        <v>5.7</v>
      </c>
      <c r="F87" s="31">
        <v>22.5</v>
      </c>
      <c r="G87" s="17">
        <f t="shared" si="12"/>
        <v>0</v>
      </c>
      <c r="H87" s="11">
        <f t="shared" si="13"/>
        <v>128.25</v>
      </c>
      <c r="I87" s="20">
        <v>0.12250000000000001</v>
      </c>
      <c r="J87" s="32">
        <v>7.43</v>
      </c>
      <c r="K87" s="17">
        <f t="shared" si="14"/>
        <v>0</v>
      </c>
      <c r="L87" s="11">
        <f t="shared" si="15"/>
        <v>0.91017500000000007</v>
      </c>
      <c r="M87" s="11">
        <f t="shared" si="16"/>
        <v>129.16017500000001</v>
      </c>
      <c r="N87" s="11">
        <f t="shared" si="17"/>
        <v>0</v>
      </c>
    </row>
    <row r="88" spans="3:14" ht="14.1" customHeight="1" x14ac:dyDescent="0.2">
      <c r="C88" s="109">
        <v>0</v>
      </c>
      <c r="D88" s="15">
        <v>80</v>
      </c>
      <c r="E88" s="29">
        <v>6.5</v>
      </c>
      <c r="F88" s="31">
        <v>22.5</v>
      </c>
      <c r="G88" s="17">
        <f t="shared" si="12"/>
        <v>0</v>
      </c>
      <c r="H88" s="11">
        <f t="shared" si="13"/>
        <v>146.25</v>
      </c>
      <c r="I88" s="20">
        <v>0.14000000000000001</v>
      </c>
      <c r="J88" s="32">
        <v>7.43</v>
      </c>
      <c r="K88" s="17">
        <f t="shared" si="14"/>
        <v>0</v>
      </c>
      <c r="L88" s="11">
        <f t="shared" si="15"/>
        <v>1.0402</v>
      </c>
      <c r="M88" s="11">
        <f t="shared" si="16"/>
        <v>147.2902</v>
      </c>
      <c r="N88" s="11">
        <f t="shared" si="17"/>
        <v>0</v>
      </c>
    </row>
    <row r="89" spans="3:14" ht="14.1" customHeight="1" x14ac:dyDescent="0.2">
      <c r="C89" s="109">
        <v>0</v>
      </c>
      <c r="D89" s="15">
        <v>90</v>
      </c>
      <c r="E89" s="29">
        <v>7.3</v>
      </c>
      <c r="F89" s="31">
        <v>22.5</v>
      </c>
      <c r="G89" s="17">
        <f t="shared" si="12"/>
        <v>0</v>
      </c>
      <c r="H89" s="11">
        <f t="shared" si="13"/>
        <v>164.25</v>
      </c>
      <c r="I89" s="20">
        <v>0.15750000000000003</v>
      </c>
      <c r="J89" s="32">
        <v>7.43</v>
      </c>
      <c r="K89" s="17">
        <f t="shared" si="14"/>
        <v>0</v>
      </c>
      <c r="L89" s="11">
        <f t="shared" si="15"/>
        <v>1.1702250000000001</v>
      </c>
      <c r="M89" s="11">
        <f t="shared" si="16"/>
        <v>165.42022499999999</v>
      </c>
      <c r="N89" s="11">
        <f t="shared" si="17"/>
        <v>0</v>
      </c>
    </row>
    <row r="90" spans="3:14" ht="14.1" customHeight="1" x14ac:dyDescent="0.2">
      <c r="C90" s="109">
        <v>0</v>
      </c>
      <c r="D90" s="15">
        <v>100</v>
      </c>
      <c r="E90" s="29">
        <v>8.1</v>
      </c>
      <c r="F90" s="31">
        <v>22.5</v>
      </c>
      <c r="G90" s="17">
        <f t="shared" si="12"/>
        <v>0</v>
      </c>
      <c r="H90" s="11">
        <f t="shared" si="13"/>
        <v>182.25</v>
      </c>
      <c r="I90" s="20">
        <v>0.17500000000000004</v>
      </c>
      <c r="J90" s="32">
        <v>7.43</v>
      </c>
      <c r="K90" s="17">
        <f t="shared" si="14"/>
        <v>0</v>
      </c>
      <c r="L90" s="11">
        <f t="shared" si="15"/>
        <v>1.3002500000000003</v>
      </c>
      <c r="M90" s="11">
        <f t="shared" si="16"/>
        <v>183.55025000000001</v>
      </c>
      <c r="N90" s="11">
        <f t="shared" si="17"/>
        <v>0</v>
      </c>
    </row>
    <row r="91" spans="3:14" ht="14.1" customHeight="1" x14ac:dyDescent="0.2">
      <c r="L91" s="225" t="s">
        <v>12</v>
      </c>
      <c r="M91" s="226"/>
      <c r="N91" s="4">
        <f>SUM(N81:N90)</f>
        <v>0</v>
      </c>
    </row>
    <row r="92" spans="3:14" ht="14.1" customHeight="1" x14ac:dyDescent="0.2">
      <c r="L92" s="225" t="s">
        <v>161</v>
      </c>
      <c r="M92" s="226"/>
      <c r="N92" s="103">
        <f>SUMPRODUCT(C81:C90,E81:E90)</f>
        <v>0</v>
      </c>
    </row>
    <row r="93" spans="3:14" ht="20.100000000000001" customHeight="1" x14ac:dyDescent="0.2"/>
    <row r="94" spans="3:14" ht="24.75" customHeight="1" x14ac:dyDescent="0.2">
      <c r="C94" s="209" t="s">
        <v>131</v>
      </c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</row>
    <row r="95" spans="3:14" ht="32.25" customHeight="1" x14ac:dyDescent="0.2">
      <c r="C95" s="189" t="s">
        <v>130</v>
      </c>
      <c r="D95" s="189" t="s">
        <v>120</v>
      </c>
      <c r="E95" s="189" t="s">
        <v>128</v>
      </c>
      <c r="F95" s="221"/>
      <c r="G95" s="221"/>
      <c r="H95" s="221"/>
      <c r="I95" s="189" t="s">
        <v>125</v>
      </c>
      <c r="J95" s="189"/>
      <c r="K95" s="189"/>
      <c r="L95" s="189"/>
      <c r="M95" s="189" t="s">
        <v>122</v>
      </c>
      <c r="N95" s="189" t="s">
        <v>12</v>
      </c>
    </row>
    <row r="96" spans="3:14" ht="14.1" customHeight="1" x14ac:dyDescent="0.2">
      <c r="C96" s="230"/>
      <c r="D96" s="230"/>
      <c r="E96" s="26" t="s">
        <v>1</v>
      </c>
      <c r="F96" s="26" t="s">
        <v>2</v>
      </c>
      <c r="G96" s="26" t="s">
        <v>3</v>
      </c>
      <c r="H96" s="26" t="s">
        <v>4</v>
      </c>
      <c r="I96" s="26" t="s">
        <v>50</v>
      </c>
      <c r="J96" s="26" t="s">
        <v>51</v>
      </c>
      <c r="K96" s="26" t="s">
        <v>3</v>
      </c>
      <c r="L96" s="26" t="s">
        <v>4</v>
      </c>
      <c r="M96" s="230"/>
      <c r="N96" s="230"/>
    </row>
    <row r="97" spans="1:17" ht="14.1" customHeight="1" x14ac:dyDescent="0.2">
      <c r="C97" s="109">
        <v>0</v>
      </c>
      <c r="D97" s="5">
        <v>10</v>
      </c>
      <c r="E97" s="29">
        <v>1</v>
      </c>
      <c r="F97" s="31">
        <v>22.5</v>
      </c>
      <c r="G97" s="113">
        <v>0</v>
      </c>
      <c r="H97" s="11">
        <f>F97*(1-G97)*E97</f>
        <v>22.5</v>
      </c>
      <c r="I97" s="30">
        <v>2.1000000000000001E-2</v>
      </c>
      <c r="J97" s="32">
        <v>7.43</v>
      </c>
      <c r="K97" s="113">
        <v>0</v>
      </c>
      <c r="L97" s="11">
        <f>J97*(1-K97)*I97</f>
        <v>0.15603</v>
      </c>
      <c r="M97" s="11">
        <f>L97+H97</f>
        <v>22.656030000000001</v>
      </c>
      <c r="N97" s="11">
        <f>M97*C97</f>
        <v>0</v>
      </c>
    </row>
    <row r="98" spans="1:17" ht="14.1" customHeight="1" x14ac:dyDescent="0.2">
      <c r="C98" s="109">
        <v>0</v>
      </c>
      <c r="D98" s="5">
        <v>20</v>
      </c>
      <c r="E98" s="29">
        <v>2</v>
      </c>
      <c r="F98" s="31">
        <v>22.5</v>
      </c>
      <c r="G98" s="17">
        <f>$G$97</f>
        <v>0</v>
      </c>
      <c r="H98" s="11">
        <f t="shared" ref="H98:H99" si="18">F98*(1-G98)*E98</f>
        <v>45</v>
      </c>
      <c r="I98" s="20">
        <v>4.2000000000000003E-2</v>
      </c>
      <c r="J98" s="32">
        <v>7.43</v>
      </c>
      <c r="K98" s="17">
        <f>$K$97</f>
        <v>0</v>
      </c>
      <c r="L98" s="11">
        <f t="shared" ref="L98:L99" si="19">J98*(1-K98)*I98</f>
        <v>0.31206</v>
      </c>
      <c r="M98" s="11">
        <f t="shared" ref="M98:M99" si="20">L98+H98</f>
        <v>45.312060000000002</v>
      </c>
      <c r="N98" s="11">
        <f t="shared" ref="N98:N99" si="21">M98*C98</f>
        <v>0</v>
      </c>
    </row>
    <row r="99" spans="1:17" ht="14.1" customHeight="1" x14ac:dyDescent="0.2">
      <c r="C99" s="109">
        <v>0</v>
      </c>
      <c r="D99" s="5">
        <v>30</v>
      </c>
      <c r="E99" s="29">
        <v>3</v>
      </c>
      <c r="F99" s="31">
        <v>22.5</v>
      </c>
      <c r="G99" s="17">
        <f>$G$97</f>
        <v>0</v>
      </c>
      <c r="H99" s="11">
        <f t="shared" si="18"/>
        <v>67.5</v>
      </c>
      <c r="I99" s="20">
        <v>6.3E-2</v>
      </c>
      <c r="J99" s="32">
        <v>7.43</v>
      </c>
      <c r="K99" s="17">
        <f>$K$97</f>
        <v>0</v>
      </c>
      <c r="L99" s="11">
        <f t="shared" si="19"/>
        <v>0.46809000000000001</v>
      </c>
      <c r="M99" s="11">
        <f t="shared" si="20"/>
        <v>67.968090000000004</v>
      </c>
      <c r="N99" s="11">
        <f t="shared" si="21"/>
        <v>0</v>
      </c>
    </row>
    <row r="100" spans="1:17" ht="14.1" customHeight="1" x14ac:dyDescent="0.2">
      <c r="C100" s="35"/>
      <c r="D100" s="35"/>
      <c r="E100" s="35"/>
      <c r="F100" s="35"/>
      <c r="G100" s="35"/>
      <c r="H100" s="35"/>
      <c r="I100" s="35"/>
      <c r="J100" s="35"/>
      <c r="K100" s="35"/>
      <c r="L100" s="225" t="s">
        <v>12</v>
      </c>
      <c r="M100" s="226"/>
      <c r="N100" s="4">
        <f>SUM(N97:N99)</f>
        <v>0</v>
      </c>
    </row>
    <row r="101" spans="1:17" ht="14.1" customHeight="1" x14ac:dyDescent="0.2"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225" t="s">
        <v>161</v>
      </c>
      <c r="M101" s="226"/>
      <c r="N101" s="103">
        <f>SUMPRODUCT(C97:C99,E97:E99)</f>
        <v>0</v>
      </c>
    </row>
    <row r="102" spans="1:17" ht="14.1" customHeight="1" x14ac:dyDescent="0.25">
      <c r="B102" s="214" t="s">
        <v>224</v>
      </c>
      <c r="C102" s="214"/>
      <c r="D102" s="214"/>
      <c r="E102" s="35"/>
      <c r="F102" s="35"/>
      <c r="G102" s="35"/>
      <c r="H102" s="35"/>
      <c r="I102" s="35"/>
      <c r="J102" s="35"/>
      <c r="K102"/>
      <c r="L102"/>
      <c r="M102"/>
      <c r="N102"/>
    </row>
    <row r="103" spans="1:17" ht="14.1" customHeight="1" x14ac:dyDescent="0.2"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</row>
    <row r="104" spans="1:17" ht="30" customHeight="1" x14ac:dyDescent="0.2">
      <c r="A104" s="271" t="s">
        <v>230</v>
      </c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</row>
    <row r="105" spans="1:17" ht="14.1" customHeight="1" x14ac:dyDescent="0.2">
      <c r="C105" s="35"/>
      <c r="D105" s="35"/>
      <c r="E105" s="35"/>
      <c r="F105" s="35"/>
      <c r="G105" s="35"/>
      <c r="H105" s="35"/>
      <c r="I105" s="35"/>
      <c r="N105" s="35"/>
    </row>
    <row r="106" spans="1:17" ht="14.1" customHeight="1" x14ac:dyDescent="0.2">
      <c r="C106" s="35"/>
      <c r="D106" s="35"/>
      <c r="E106" s="35"/>
      <c r="F106" s="35"/>
      <c r="G106" s="35"/>
      <c r="H106" s="35"/>
      <c r="I106" s="35"/>
      <c r="J106" s="9" t="s">
        <v>54</v>
      </c>
      <c r="N106" s="35"/>
    </row>
    <row r="107" spans="1:17" ht="14.1" customHeight="1" x14ac:dyDescent="0.2">
      <c r="C107" s="35"/>
      <c r="D107" s="35"/>
      <c r="E107" s="35"/>
      <c r="F107" s="35"/>
      <c r="G107" s="35"/>
      <c r="H107" s="35"/>
      <c r="I107" s="35"/>
      <c r="J107" s="9" t="s">
        <v>138</v>
      </c>
      <c r="N107" s="35"/>
    </row>
    <row r="108" spans="1:17" ht="14.1" customHeight="1" x14ac:dyDescent="0.2">
      <c r="C108" s="35"/>
      <c r="D108" s="35"/>
      <c r="E108" s="35"/>
      <c r="F108" s="35"/>
      <c r="G108" s="35"/>
      <c r="H108" s="35"/>
      <c r="I108" s="35"/>
      <c r="J108" s="9" t="s">
        <v>139</v>
      </c>
      <c r="N108" s="35"/>
    </row>
    <row r="109" spans="1:17" ht="14.1" customHeight="1" x14ac:dyDescent="0.2">
      <c r="C109" s="35"/>
      <c r="D109" s="35"/>
      <c r="E109" s="35"/>
      <c r="F109" s="35"/>
      <c r="G109" s="35"/>
      <c r="H109" s="35"/>
      <c r="I109" s="35"/>
      <c r="J109" s="9" t="s">
        <v>10</v>
      </c>
      <c r="N109" s="35"/>
    </row>
    <row r="110" spans="1:17" ht="14.1" customHeight="1" x14ac:dyDescent="0.2">
      <c r="C110" s="35"/>
      <c r="D110" s="35"/>
      <c r="E110" s="35"/>
      <c r="F110" s="35"/>
      <c r="G110" s="35"/>
      <c r="H110" s="35"/>
      <c r="I110" s="35"/>
      <c r="J110" s="9" t="s">
        <v>56</v>
      </c>
      <c r="N110" s="35"/>
    </row>
    <row r="112" spans="1:17" ht="20.100000000000001" customHeight="1" x14ac:dyDescent="0.2">
      <c r="C112" s="194" t="s">
        <v>153</v>
      </c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</row>
    <row r="113" spans="2:14" ht="34.5" customHeight="1" x14ac:dyDescent="0.2">
      <c r="C113" s="189" t="s">
        <v>130</v>
      </c>
      <c r="D113" s="189" t="s">
        <v>120</v>
      </c>
      <c r="E113" s="189" t="s">
        <v>134</v>
      </c>
      <c r="F113" s="221"/>
      <c r="G113" s="221"/>
      <c r="H113" s="221"/>
      <c r="I113" s="189" t="s">
        <v>135</v>
      </c>
      <c r="J113" s="189"/>
      <c r="K113" s="189"/>
      <c r="L113" s="189"/>
      <c r="M113" s="189" t="s">
        <v>122</v>
      </c>
      <c r="N113" s="189" t="s">
        <v>12</v>
      </c>
    </row>
    <row r="114" spans="2:14" ht="14.1" customHeight="1" x14ac:dyDescent="0.2">
      <c r="C114" s="230"/>
      <c r="D114" s="230"/>
      <c r="E114" s="26" t="s">
        <v>1</v>
      </c>
      <c r="F114" s="26" t="s">
        <v>2</v>
      </c>
      <c r="G114" s="26" t="s">
        <v>3</v>
      </c>
      <c r="H114" s="26" t="s">
        <v>4</v>
      </c>
      <c r="I114" s="26" t="s">
        <v>50</v>
      </c>
      <c r="J114" s="26" t="s">
        <v>51</v>
      </c>
      <c r="K114" s="26" t="s">
        <v>3</v>
      </c>
      <c r="L114" s="26" t="s">
        <v>4</v>
      </c>
      <c r="M114" s="230"/>
      <c r="N114" s="230"/>
    </row>
    <row r="115" spans="2:14" ht="14.1" customHeight="1" x14ac:dyDescent="0.2">
      <c r="C115" s="109">
        <v>0</v>
      </c>
      <c r="D115" s="5">
        <v>10</v>
      </c>
      <c r="E115" s="29">
        <v>0.5</v>
      </c>
      <c r="F115" s="31">
        <v>66.5</v>
      </c>
      <c r="G115" s="113">
        <v>0</v>
      </c>
      <c r="H115" s="11">
        <f>F115*(1-G115)*E115</f>
        <v>33.25</v>
      </c>
      <c r="I115" s="30">
        <v>0.02</v>
      </c>
      <c r="J115" s="32">
        <v>7.43</v>
      </c>
      <c r="K115" s="113">
        <v>0</v>
      </c>
      <c r="L115" s="11">
        <f>J115*(1-K115)*I115</f>
        <v>0.14860000000000001</v>
      </c>
      <c r="M115" s="11">
        <f>L115+H115</f>
        <v>33.398600000000002</v>
      </c>
      <c r="N115" s="11">
        <f>M115*C115</f>
        <v>0</v>
      </c>
    </row>
    <row r="116" spans="2:14" ht="14.1" customHeight="1" x14ac:dyDescent="0.2">
      <c r="C116" s="109">
        <v>0</v>
      </c>
      <c r="D116" s="5">
        <v>20</v>
      </c>
      <c r="E116" s="29">
        <v>0.9</v>
      </c>
      <c r="F116" s="31">
        <v>66.5</v>
      </c>
      <c r="G116" s="17">
        <f>$G$115</f>
        <v>0</v>
      </c>
      <c r="H116" s="11">
        <f t="shared" ref="H116:H117" si="22">F116*(1-G116)*E116</f>
        <v>59.85</v>
      </c>
      <c r="I116" s="20">
        <v>0.04</v>
      </c>
      <c r="J116" s="32">
        <v>7.43</v>
      </c>
      <c r="K116" s="17">
        <f>$K$115</f>
        <v>0</v>
      </c>
      <c r="L116" s="11">
        <f t="shared" ref="L116:L117" si="23">J116*(1-K116)*I116</f>
        <v>0.29720000000000002</v>
      </c>
      <c r="M116" s="11">
        <f t="shared" ref="M116:M117" si="24">L116+H116</f>
        <v>60.147199999999998</v>
      </c>
      <c r="N116" s="11">
        <f t="shared" ref="N116:N117" si="25">M116*C116</f>
        <v>0</v>
      </c>
    </row>
    <row r="117" spans="2:14" ht="14.1" customHeight="1" x14ac:dyDescent="0.2">
      <c r="C117" s="109">
        <v>0</v>
      </c>
      <c r="D117" s="5">
        <v>30</v>
      </c>
      <c r="E117" s="29">
        <v>1.3</v>
      </c>
      <c r="F117" s="31">
        <v>66.5</v>
      </c>
      <c r="G117" s="17">
        <f>$G$115</f>
        <v>0</v>
      </c>
      <c r="H117" s="11">
        <f t="shared" si="22"/>
        <v>86.45</v>
      </c>
      <c r="I117" s="20">
        <v>0.05</v>
      </c>
      <c r="J117" s="32">
        <v>7.43</v>
      </c>
      <c r="K117" s="17">
        <f>$K$115</f>
        <v>0</v>
      </c>
      <c r="L117" s="11">
        <f t="shared" si="23"/>
        <v>0.3715</v>
      </c>
      <c r="M117" s="11">
        <f t="shared" si="24"/>
        <v>86.8215</v>
      </c>
      <c r="N117" s="11">
        <f t="shared" si="25"/>
        <v>0</v>
      </c>
    </row>
    <row r="118" spans="2:14" ht="14.1" customHeight="1" x14ac:dyDescent="0.25">
      <c r="C118"/>
      <c r="D118" s="54"/>
      <c r="E118" s="48"/>
      <c r="F118" s="49"/>
      <c r="G118" s="50"/>
      <c r="H118" s="51"/>
      <c r="I118" s="53"/>
      <c r="J118" s="51"/>
      <c r="K118" s="50"/>
      <c r="L118" s="225" t="s">
        <v>12</v>
      </c>
      <c r="M118" s="226"/>
      <c r="N118" s="4">
        <f>SUM(N115:N117)</f>
        <v>0</v>
      </c>
    </row>
    <row r="119" spans="2:14" ht="14.1" customHeight="1" x14ac:dyDescent="0.25">
      <c r="C119"/>
      <c r="D119" s="54"/>
      <c r="E119" s="48"/>
      <c r="F119" s="49"/>
      <c r="G119" s="50"/>
      <c r="H119" s="51"/>
      <c r="I119" s="53"/>
      <c r="J119" s="51"/>
      <c r="K119" s="50"/>
      <c r="L119" s="225" t="s">
        <v>161</v>
      </c>
      <c r="M119" s="226"/>
      <c r="N119" s="91">
        <f>SUMPRODUCT(C115:C117,E115:E117)</f>
        <v>0</v>
      </c>
    </row>
    <row r="121" spans="2:14" ht="20.100000000000001" customHeight="1" x14ac:dyDescent="0.2">
      <c r="C121" s="194" t="s">
        <v>136</v>
      </c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</row>
    <row r="122" spans="2:14" ht="31.5" customHeight="1" x14ac:dyDescent="0.2">
      <c r="C122" s="189" t="s">
        <v>130</v>
      </c>
      <c r="D122" s="189" t="s">
        <v>120</v>
      </c>
      <c r="E122" s="189" t="s">
        <v>134</v>
      </c>
      <c r="F122" s="221"/>
      <c r="G122" s="221"/>
      <c r="H122" s="221"/>
      <c r="I122" s="189" t="s">
        <v>135</v>
      </c>
      <c r="J122" s="189"/>
      <c r="K122" s="189"/>
      <c r="L122" s="189"/>
      <c r="M122" s="189" t="s">
        <v>122</v>
      </c>
      <c r="N122" s="189" t="s">
        <v>12</v>
      </c>
    </row>
    <row r="123" spans="2:14" ht="14.1" customHeight="1" x14ac:dyDescent="0.2">
      <c r="C123" s="230"/>
      <c r="D123" s="230"/>
      <c r="E123" s="26" t="s">
        <v>1</v>
      </c>
      <c r="F123" s="26" t="s">
        <v>2</v>
      </c>
      <c r="G123" s="26" t="s">
        <v>3</v>
      </c>
      <c r="H123" s="26" t="s">
        <v>4</v>
      </c>
      <c r="I123" s="26" t="s">
        <v>50</v>
      </c>
      <c r="J123" s="26" t="s">
        <v>51</v>
      </c>
      <c r="K123" s="26" t="s">
        <v>3</v>
      </c>
      <c r="L123" s="26" t="s">
        <v>4</v>
      </c>
      <c r="M123" s="230"/>
      <c r="N123" s="230"/>
    </row>
    <row r="124" spans="2:14" ht="14.1" customHeight="1" x14ac:dyDescent="0.2">
      <c r="C124" s="109">
        <v>0</v>
      </c>
      <c r="D124" s="5">
        <v>10</v>
      </c>
      <c r="E124" s="29">
        <v>0.5</v>
      </c>
      <c r="F124" s="31">
        <v>66.5</v>
      </c>
      <c r="G124" s="113">
        <v>0</v>
      </c>
      <c r="H124" s="11">
        <f>F124*(1-G124)*E124</f>
        <v>33.25</v>
      </c>
      <c r="I124" s="30">
        <v>0.02</v>
      </c>
      <c r="J124" s="32">
        <v>7.43</v>
      </c>
      <c r="K124" s="113">
        <v>0</v>
      </c>
      <c r="L124" s="11">
        <f>J124*(1-K124)*I124</f>
        <v>0.14860000000000001</v>
      </c>
      <c r="M124" s="11">
        <f>L124+H124</f>
        <v>33.398600000000002</v>
      </c>
      <c r="N124" s="11">
        <f>M124*C124</f>
        <v>0</v>
      </c>
    </row>
    <row r="125" spans="2:14" ht="14.1" customHeight="1" x14ac:dyDescent="0.2">
      <c r="C125" s="109">
        <v>0</v>
      </c>
      <c r="D125" s="5">
        <v>20</v>
      </c>
      <c r="E125" s="29">
        <v>1</v>
      </c>
      <c r="F125" s="31">
        <v>66.5</v>
      </c>
      <c r="G125" s="17">
        <f>$G$124</f>
        <v>0</v>
      </c>
      <c r="H125" s="11">
        <f t="shared" ref="H125:H126" si="26">F125*(1-G125)*E125</f>
        <v>66.5</v>
      </c>
      <c r="I125" s="20">
        <v>0.04</v>
      </c>
      <c r="J125" s="32">
        <v>7.43</v>
      </c>
      <c r="K125" s="17">
        <f>$K$124</f>
        <v>0</v>
      </c>
      <c r="L125" s="11">
        <f t="shared" ref="L125:L126" si="27">J125*(1-K125)*I125</f>
        <v>0.29720000000000002</v>
      </c>
      <c r="M125" s="11">
        <f t="shared" ref="M125:M126" si="28">L125+H125</f>
        <v>66.797200000000004</v>
      </c>
      <c r="N125" s="11">
        <f t="shared" ref="N125:N126" si="29">M125*C125</f>
        <v>0</v>
      </c>
    </row>
    <row r="126" spans="2:14" ht="14.1" customHeight="1" x14ac:dyDescent="0.2">
      <c r="C126" s="109">
        <v>0</v>
      </c>
      <c r="D126" s="5">
        <v>30</v>
      </c>
      <c r="E126" s="29">
        <v>1.5</v>
      </c>
      <c r="F126" s="31">
        <v>66.5</v>
      </c>
      <c r="G126" s="17">
        <f>$G$124</f>
        <v>0</v>
      </c>
      <c r="H126" s="11">
        <f t="shared" si="26"/>
        <v>99.75</v>
      </c>
      <c r="I126" s="20">
        <v>0.05</v>
      </c>
      <c r="J126" s="32">
        <v>7.43</v>
      </c>
      <c r="K126" s="17">
        <f>$K$124</f>
        <v>0</v>
      </c>
      <c r="L126" s="11">
        <f t="shared" si="27"/>
        <v>0.3715</v>
      </c>
      <c r="M126" s="11">
        <f t="shared" si="28"/>
        <v>100.1215</v>
      </c>
      <c r="N126" s="11">
        <f t="shared" si="29"/>
        <v>0</v>
      </c>
    </row>
    <row r="127" spans="2:14" ht="14.1" customHeight="1" x14ac:dyDescent="0.2">
      <c r="L127" s="225" t="s">
        <v>12</v>
      </c>
      <c r="M127" s="226"/>
      <c r="N127" s="4">
        <f>SUM(N124:N126)</f>
        <v>0</v>
      </c>
    </row>
    <row r="128" spans="2:14" ht="14.1" customHeight="1" x14ac:dyDescent="0.25">
      <c r="B128" s="214" t="s">
        <v>224</v>
      </c>
      <c r="C128" s="214"/>
      <c r="D128" s="214"/>
      <c r="L128" s="225" t="s">
        <v>161</v>
      </c>
      <c r="M128" s="226"/>
      <c r="N128" s="91">
        <f>SUMPRODUCT(C124:C126,E124:E126)</f>
        <v>0</v>
      </c>
    </row>
    <row r="130" spans="1:17" ht="30" customHeight="1" x14ac:dyDescent="0.2">
      <c r="A130" s="271" t="s">
        <v>140</v>
      </c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</row>
    <row r="133" spans="1:17" ht="14.1" customHeight="1" x14ac:dyDescent="0.2">
      <c r="J133" s="9" t="s">
        <v>54</v>
      </c>
    </row>
    <row r="134" spans="1:17" ht="14.1" customHeight="1" x14ac:dyDescent="0.2">
      <c r="J134" s="9" t="s">
        <v>145</v>
      </c>
    </row>
    <row r="135" spans="1:17" ht="14.1" customHeight="1" x14ac:dyDescent="0.2">
      <c r="J135" s="9" t="s">
        <v>55</v>
      </c>
    </row>
    <row r="136" spans="1:17" ht="14.1" customHeight="1" x14ac:dyDescent="0.2">
      <c r="J136" s="9" t="s">
        <v>10</v>
      </c>
    </row>
    <row r="137" spans="1:17" ht="14.1" customHeight="1" x14ac:dyDescent="0.2">
      <c r="J137" s="9" t="s">
        <v>56</v>
      </c>
    </row>
    <row r="139" spans="1:17" ht="20.100000000000001" customHeight="1" x14ac:dyDescent="0.2"/>
    <row r="140" spans="1:17" ht="41.25" customHeight="1" x14ac:dyDescent="0.2">
      <c r="C140" s="194" t="s">
        <v>143</v>
      </c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</row>
    <row r="141" spans="1:17" ht="30" customHeight="1" x14ac:dyDescent="0.2">
      <c r="C141" s="230" t="s">
        <v>130</v>
      </c>
      <c r="D141" s="230" t="s">
        <v>120</v>
      </c>
      <c r="E141" s="222" t="s">
        <v>141</v>
      </c>
      <c r="F141" s="223"/>
      <c r="G141" s="223"/>
      <c r="H141" s="224"/>
      <c r="I141" s="222" t="s">
        <v>142</v>
      </c>
      <c r="J141" s="223"/>
      <c r="K141" s="223"/>
      <c r="L141" s="224"/>
      <c r="M141" s="230" t="s">
        <v>122</v>
      </c>
      <c r="N141" s="230" t="s">
        <v>12</v>
      </c>
    </row>
    <row r="142" spans="1:17" ht="14.1" customHeight="1" x14ac:dyDescent="0.2">
      <c r="C142" s="231"/>
      <c r="D142" s="231"/>
      <c r="E142" s="26" t="s">
        <v>1</v>
      </c>
      <c r="F142" s="26" t="s">
        <v>2</v>
      </c>
      <c r="G142" s="26" t="s">
        <v>3</v>
      </c>
      <c r="H142" s="26" t="s">
        <v>4</v>
      </c>
      <c r="I142" s="26" t="s">
        <v>164</v>
      </c>
      <c r="J142" s="26" t="s">
        <v>165</v>
      </c>
      <c r="K142" s="26" t="s">
        <v>3</v>
      </c>
      <c r="L142" s="26" t="s">
        <v>4</v>
      </c>
      <c r="M142" s="231"/>
      <c r="N142" s="231"/>
    </row>
    <row r="143" spans="1:17" ht="14.1" customHeight="1" x14ac:dyDescent="0.2">
      <c r="C143" s="116">
        <v>0</v>
      </c>
      <c r="D143" s="5">
        <v>10</v>
      </c>
      <c r="E143" s="20">
        <v>3.2000000000000002E-3</v>
      </c>
      <c r="F143" s="31">
        <v>745</v>
      </c>
      <c r="G143" s="114">
        <v>0</v>
      </c>
      <c r="H143" s="11">
        <f>F143*(1-G143)*E143</f>
        <v>2.3839999999999999</v>
      </c>
      <c r="I143" s="34">
        <v>0.02</v>
      </c>
      <c r="J143" s="32">
        <v>58</v>
      </c>
      <c r="K143" s="114">
        <v>0</v>
      </c>
      <c r="L143" s="11">
        <f>J143*(1-K143)*I143</f>
        <v>1.1599999999999999</v>
      </c>
      <c r="M143" s="11">
        <f>L143+H143</f>
        <v>3.5439999999999996</v>
      </c>
      <c r="N143" s="11">
        <f>M143*C143</f>
        <v>0</v>
      </c>
    </row>
    <row r="144" spans="1:17" ht="14.1" customHeight="1" x14ac:dyDescent="0.2">
      <c r="C144" s="116">
        <v>0</v>
      </c>
      <c r="D144" s="5">
        <v>20</v>
      </c>
      <c r="E144" s="20">
        <v>6.3E-3</v>
      </c>
      <c r="F144" s="21">
        <v>745</v>
      </c>
      <c r="G144" s="17">
        <f t="shared" ref="G144:G150" si="30">$G$143</f>
        <v>0</v>
      </c>
      <c r="H144" s="11">
        <f t="shared" ref="H144:H150" si="31">F144*(1-G144)*E144</f>
        <v>4.6935000000000002</v>
      </c>
      <c r="I144" s="29">
        <v>0.04</v>
      </c>
      <c r="J144" s="32">
        <v>58</v>
      </c>
      <c r="K144" s="17">
        <f t="shared" ref="K144:K150" si="32">$K$143</f>
        <v>0</v>
      </c>
      <c r="L144" s="11">
        <f t="shared" ref="L144:L150" si="33">J144*(1-K144)*I144</f>
        <v>2.3199999999999998</v>
      </c>
      <c r="M144" s="11">
        <f t="shared" ref="M144:M150" si="34">L144+H144</f>
        <v>7.0135000000000005</v>
      </c>
      <c r="N144" s="11">
        <f t="shared" ref="N144:N150" si="35">M144*C144</f>
        <v>0</v>
      </c>
    </row>
    <row r="145" spans="3:14" ht="14.1" customHeight="1" x14ac:dyDescent="0.2">
      <c r="C145" s="116">
        <v>0</v>
      </c>
      <c r="D145" s="5">
        <v>30</v>
      </c>
      <c r="E145" s="20">
        <v>9.4000000000000004E-3</v>
      </c>
      <c r="F145" s="21">
        <v>745</v>
      </c>
      <c r="G145" s="17">
        <f t="shared" si="30"/>
        <v>0</v>
      </c>
      <c r="H145" s="11">
        <f t="shared" si="31"/>
        <v>7.0030000000000001</v>
      </c>
      <c r="I145" s="29">
        <v>0.06</v>
      </c>
      <c r="J145" s="32">
        <v>58</v>
      </c>
      <c r="K145" s="17">
        <f t="shared" si="32"/>
        <v>0</v>
      </c>
      <c r="L145" s="11">
        <f t="shared" si="33"/>
        <v>3.48</v>
      </c>
      <c r="M145" s="11">
        <f t="shared" si="34"/>
        <v>10.483000000000001</v>
      </c>
      <c r="N145" s="11">
        <f t="shared" si="35"/>
        <v>0</v>
      </c>
    </row>
    <row r="146" spans="3:14" ht="14.1" customHeight="1" x14ac:dyDescent="0.2">
      <c r="C146" s="116">
        <v>0</v>
      </c>
      <c r="D146" s="15">
        <v>40</v>
      </c>
      <c r="E146" s="20">
        <v>1.2500000000000001E-2</v>
      </c>
      <c r="F146" s="21">
        <v>745</v>
      </c>
      <c r="G146" s="17">
        <f t="shared" si="30"/>
        <v>0</v>
      </c>
      <c r="H146" s="11">
        <f t="shared" si="31"/>
        <v>9.3125</v>
      </c>
      <c r="I146" s="29">
        <v>0.08</v>
      </c>
      <c r="J146" s="32">
        <v>58</v>
      </c>
      <c r="K146" s="17">
        <f t="shared" si="32"/>
        <v>0</v>
      </c>
      <c r="L146" s="11">
        <f t="shared" si="33"/>
        <v>4.6399999999999997</v>
      </c>
      <c r="M146" s="11">
        <f t="shared" si="34"/>
        <v>13.952500000000001</v>
      </c>
      <c r="N146" s="11">
        <f t="shared" si="35"/>
        <v>0</v>
      </c>
    </row>
    <row r="147" spans="3:14" ht="14.1" customHeight="1" x14ac:dyDescent="0.2">
      <c r="C147" s="116">
        <v>0</v>
      </c>
      <c r="D147" s="15">
        <v>50</v>
      </c>
      <c r="E147" s="20">
        <v>1.5599999999999999E-2</v>
      </c>
      <c r="F147" s="21">
        <v>745</v>
      </c>
      <c r="G147" s="17">
        <f t="shared" si="30"/>
        <v>0</v>
      </c>
      <c r="H147" s="11">
        <f t="shared" si="31"/>
        <v>11.622</v>
      </c>
      <c r="I147" s="29">
        <v>0.1</v>
      </c>
      <c r="J147" s="32">
        <v>58</v>
      </c>
      <c r="K147" s="17">
        <f t="shared" si="32"/>
        <v>0</v>
      </c>
      <c r="L147" s="11">
        <f t="shared" si="33"/>
        <v>5.8000000000000007</v>
      </c>
      <c r="M147" s="11">
        <f t="shared" si="34"/>
        <v>17.422000000000001</v>
      </c>
      <c r="N147" s="11">
        <f t="shared" si="35"/>
        <v>0</v>
      </c>
    </row>
    <row r="148" spans="3:14" ht="14.1" customHeight="1" x14ac:dyDescent="0.2">
      <c r="C148" s="116">
        <v>0</v>
      </c>
      <c r="D148" s="15">
        <v>60</v>
      </c>
      <c r="E148" s="20">
        <v>1.8800000000000001E-2</v>
      </c>
      <c r="F148" s="21">
        <v>745</v>
      </c>
      <c r="G148" s="17">
        <f t="shared" si="30"/>
        <v>0</v>
      </c>
      <c r="H148" s="11">
        <f t="shared" si="31"/>
        <v>14.006</v>
      </c>
      <c r="I148" s="29">
        <v>0.12</v>
      </c>
      <c r="J148" s="32">
        <v>58</v>
      </c>
      <c r="K148" s="17">
        <f t="shared" si="32"/>
        <v>0</v>
      </c>
      <c r="L148" s="11">
        <f t="shared" si="33"/>
        <v>6.96</v>
      </c>
      <c r="M148" s="11">
        <f t="shared" si="34"/>
        <v>20.966000000000001</v>
      </c>
      <c r="N148" s="11">
        <f t="shared" si="35"/>
        <v>0</v>
      </c>
    </row>
    <row r="149" spans="3:14" ht="14.1" customHeight="1" x14ac:dyDescent="0.2">
      <c r="C149" s="116">
        <v>0</v>
      </c>
      <c r="D149" s="15">
        <v>100</v>
      </c>
      <c r="E149" s="20">
        <v>3.1300000000000001E-2</v>
      </c>
      <c r="F149" s="21">
        <v>745</v>
      </c>
      <c r="G149" s="17">
        <f t="shared" si="30"/>
        <v>0</v>
      </c>
      <c r="H149" s="11">
        <f t="shared" si="31"/>
        <v>23.3185</v>
      </c>
      <c r="I149" s="29">
        <v>0.2</v>
      </c>
      <c r="J149" s="32">
        <v>58</v>
      </c>
      <c r="K149" s="17">
        <f t="shared" si="32"/>
        <v>0</v>
      </c>
      <c r="L149" s="11">
        <f t="shared" si="33"/>
        <v>11.600000000000001</v>
      </c>
      <c r="M149" s="11">
        <f t="shared" si="34"/>
        <v>34.918500000000002</v>
      </c>
      <c r="N149" s="11">
        <f t="shared" si="35"/>
        <v>0</v>
      </c>
    </row>
    <row r="150" spans="3:14" ht="14.1" customHeight="1" x14ac:dyDescent="0.2">
      <c r="C150" s="116">
        <v>0</v>
      </c>
      <c r="D150" s="15">
        <v>200</v>
      </c>
      <c r="E150" s="20">
        <v>6.25E-2</v>
      </c>
      <c r="F150" s="21">
        <v>745</v>
      </c>
      <c r="G150" s="17">
        <f t="shared" si="30"/>
        <v>0</v>
      </c>
      <c r="H150" s="11">
        <f t="shared" si="31"/>
        <v>46.5625</v>
      </c>
      <c r="I150" s="29">
        <v>0.4</v>
      </c>
      <c r="J150" s="32">
        <v>58</v>
      </c>
      <c r="K150" s="17">
        <f t="shared" si="32"/>
        <v>0</v>
      </c>
      <c r="L150" s="11">
        <f t="shared" si="33"/>
        <v>23.200000000000003</v>
      </c>
      <c r="M150" s="11">
        <f t="shared" si="34"/>
        <v>69.762500000000003</v>
      </c>
      <c r="N150" s="11">
        <f t="shared" si="35"/>
        <v>0</v>
      </c>
    </row>
    <row r="151" spans="3:14" ht="14.1" customHeight="1" x14ac:dyDescent="0.2">
      <c r="L151" s="225" t="s">
        <v>12</v>
      </c>
      <c r="M151" s="226"/>
      <c r="N151" s="4">
        <f>SUM(N143:N150)</f>
        <v>0</v>
      </c>
    </row>
    <row r="152" spans="3:14" ht="14.1" customHeight="1" x14ac:dyDescent="0.2">
      <c r="L152" s="225" t="s">
        <v>161</v>
      </c>
      <c r="M152" s="226"/>
      <c r="N152" s="91">
        <f>SUMPRODUCT(C143:C150,E143:E150)</f>
        <v>0</v>
      </c>
    </row>
    <row r="153" spans="3:14" ht="14.1" customHeight="1" x14ac:dyDescent="0.2">
      <c r="L153" s="225" t="s">
        <v>162</v>
      </c>
      <c r="M153" s="226"/>
      <c r="N153" s="91">
        <f>SUMPRODUCT(C143:C150,I143:I150)</f>
        <v>0</v>
      </c>
    </row>
    <row r="154" spans="3:14" ht="20.100000000000001" customHeight="1" x14ac:dyDescent="0.2"/>
    <row r="155" spans="3:14" ht="42.75" customHeight="1" x14ac:dyDescent="0.2">
      <c r="C155" s="194" t="s">
        <v>144</v>
      </c>
      <c r="D155" s="194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</row>
    <row r="156" spans="3:14" ht="30" customHeight="1" x14ac:dyDescent="0.2">
      <c r="C156" s="230" t="s">
        <v>130</v>
      </c>
      <c r="D156" s="230" t="s">
        <v>120</v>
      </c>
      <c r="E156" s="222" t="s">
        <v>141</v>
      </c>
      <c r="F156" s="223"/>
      <c r="G156" s="223"/>
      <c r="H156" s="224"/>
      <c r="I156" s="222" t="s">
        <v>142</v>
      </c>
      <c r="J156" s="223"/>
      <c r="K156" s="223"/>
      <c r="L156" s="224"/>
      <c r="M156" s="230" t="s">
        <v>122</v>
      </c>
      <c r="N156" s="230" t="s">
        <v>12</v>
      </c>
    </row>
    <row r="157" spans="3:14" ht="14.1" customHeight="1" x14ac:dyDescent="0.2">
      <c r="C157" s="231"/>
      <c r="D157" s="231"/>
      <c r="E157" s="26" t="s">
        <v>1</v>
      </c>
      <c r="F157" s="26" t="s">
        <v>2</v>
      </c>
      <c r="G157" s="26" t="s">
        <v>3</v>
      </c>
      <c r="H157" s="26" t="s">
        <v>4</v>
      </c>
      <c r="I157" s="26" t="s">
        <v>164</v>
      </c>
      <c r="J157" s="26" t="s">
        <v>165</v>
      </c>
      <c r="K157" s="26" t="s">
        <v>3</v>
      </c>
      <c r="L157" s="26" t="s">
        <v>4</v>
      </c>
      <c r="M157" s="231"/>
      <c r="N157" s="231"/>
    </row>
    <row r="158" spans="3:14" ht="14.1" customHeight="1" x14ac:dyDescent="0.2">
      <c r="C158" s="116">
        <v>0</v>
      </c>
      <c r="D158" s="5">
        <v>10</v>
      </c>
      <c r="E158" s="20">
        <v>6.4000000000000003E-3</v>
      </c>
      <c r="F158" s="31">
        <v>745</v>
      </c>
      <c r="G158" s="114">
        <v>0</v>
      </c>
      <c r="H158" s="11">
        <f>F158*(1-G158)*E158</f>
        <v>4.7679999999999998</v>
      </c>
      <c r="I158" s="34">
        <v>0.02</v>
      </c>
      <c r="J158" s="32">
        <v>52</v>
      </c>
      <c r="K158" s="114">
        <v>0</v>
      </c>
      <c r="L158" s="11">
        <f>J158*(1-K158)*I158</f>
        <v>1.04</v>
      </c>
      <c r="M158" s="11">
        <f>L158+H158</f>
        <v>5.8079999999999998</v>
      </c>
      <c r="N158" s="11">
        <f>M158*C158</f>
        <v>0</v>
      </c>
    </row>
    <row r="159" spans="3:14" ht="14.1" customHeight="1" x14ac:dyDescent="0.2">
      <c r="C159" s="116">
        <v>0</v>
      </c>
      <c r="D159" s="5">
        <v>20</v>
      </c>
      <c r="E159" s="20">
        <v>1.26E-2</v>
      </c>
      <c r="F159" s="21">
        <v>745</v>
      </c>
      <c r="G159" s="17">
        <f t="shared" ref="G159:G165" si="36">$G$158</f>
        <v>0</v>
      </c>
      <c r="H159" s="11">
        <f t="shared" ref="H159:H165" si="37">F159*(1-G159)*E159</f>
        <v>9.3870000000000005</v>
      </c>
      <c r="I159" s="29">
        <v>0.04</v>
      </c>
      <c r="J159" s="32">
        <v>52</v>
      </c>
      <c r="K159" s="17">
        <f t="shared" ref="K159:K165" si="38">$K$158</f>
        <v>0</v>
      </c>
      <c r="L159" s="11">
        <f t="shared" ref="L159:L165" si="39">J159*(1-K159)*I159</f>
        <v>2.08</v>
      </c>
      <c r="M159" s="11">
        <f t="shared" ref="M159:M165" si="40">L159+H159</f>
        <v>11.467000000000001</v>
      </c>
      <c r="N159" s="11">
        <f t="shared" ref="N159:N165" si="41">M159*C159</f>
        <v>0</v>
      </c>
    </row>
    <row r="160" spans="3:14" ht="14.1" customHeight="1" x14ac:dyDescent="0.2">
      <c r="C160" s="116">
        <v>0</v>
      </c>
      <c r="D160" s="5">
        <v>30</v>
      </c>
      <c r="E160" s="20">
        <v>1.8800000000000001E-2</v>
      </c>
      <c r="F160" s="21">
        <v>745</v>
      </c>
      <c r="G160" s="17">
        <f t="shared" si="36"/>
        <v>0</v>
      </c>
      <c r="H160" s="11">
        <f t="shared" si="37"/>
        <v>14.006</v>
      </c>
      <c r="I160" s="29">
        <v>0.06</v>
      </c>
      <c r="J160" s="32">
        <v>52</v>
      </c>
      <c r="K160" s="17">
        <f t="shared" si="38"/>
        <v>0</v>
      </c>
      <c r="L160" s="11">
        <f t="shared" si="39"/>
        <v>3.12</v>
      </c>
      <c r="M160" s="11">
        <f t="shared" si="40"/>
        <v>17.126000000000001</v>
      </c>
      <c r="N160" s="11">
        <f t="shared" si="41"/>
        <v>0</v>
      </c>
    </row>
    <row r="161" spans="1:17" ht="14.1" customHeight="1" x14ac:dyDescent="0.2">
      <c r="C161" s="116">
        <v>0</v>
      </c>
      <c r="D161" s="15">
        <v>40</v>
      </c>
      <c r="E161" s="20">
        <v>2.5000000000000001E-2</v>
      </c>
      <c r="F161" s="21">
        <v>745</v>
      </c>
      <c r="G161" s="17">
        <f t="shared" si="36"/>
        <v>0</v>
      </c>
      <c r="H161" s="11">
        <f t="shared" si="37"/>
        <v>18.625</v>
      </c>
      <c r="I161" s="29">
        <v>0.08</v>
      </c>
      <c r="J161" s="32">
        <v>52</v>
      </c>
      <c r="K161" s="17">
        <f t="shared" si="38"/>
        <v>0</v>
      </c>
      <c r="L161" s="11">
        <f t="shared" si="39"/>
        <v>4.16</v>
      </c>
      <c r="M161" s="11">
        <f t="shared" si="40"/>
        <v>22.785</v>
      </c>
      <c r="N161" s="11">
        <f t="shared" si="41"/>
        <v>0</v>
      </c>
    </row>
    <row r="162" spans="1:17" ht="14.1" customHeight="1" x14ac:dyDescent="0.2">
      <c r="C162" s="116">
        <v>0</v>
      </c>
      <c r="D162" s="15">
        <v>50</v>
      </c>
      <c r="E162" s="20">
        <v>3.1199999999999999E-2</v>
      </c>
      <c r="F162" s="21">
        <v>745</v>
      </c>
      <c r="G162" s="17">
        <f t="shared" si="36"/>
        <v>0</v>
      </c>
      <c r="H162" s="11">
        <f t="shared" si="37"/>
        <v>23.244</v>
      </c>
      <c r="I162" s="29">
        <v>0.1</v>
      </c>
      <c r="J162" s="32">
        <v>52</v>
      </c>
      <c r="K162" s="17">
        <f t="shared" si="38"/>
        <v>0</v>
      </c>
      <c r="L162" s="11">
        <f t="shared" si="39"/>
        <v>5.2</v>
      </c>
      <c r="M162" s="11">
        <f t="shared" si="40"/>
        <v>28.443999999999999</v>
      </c>
      <c r="N162" s="11">
        <f t="shared" si="41"/>
        <v>0</v>
      </c>
    </row>
    <row r="163" spans="1:17" ht="14.1" customHeight="1" x14ac:dyDescent="0.2">
      <c r="C163" s="116">
        <v>0</v>
      </c>
      <c r="D163" s="15">
        <v>60</v>
      </c>
      <c r="E163" s="20">
        <v>3.7600000000000001E-2</v>
      </c>
      <c r="F163" s="21">
        <v>745</v>
      </c>
      <c r="G163" s="17">
        <f t="shared" si="36"/>
        <v>0</v>
      </c>
      <c r="H163" s="11">
        <f t="shared" si="37"/>
        <v>28.012</v>
      </c>
      <c r="I163" s="29">
        <v>0.12</v>
      </c>
      <c r="J163" s="32">
        <v>52</v>
      </c>
      <c r="K163" s="17">
        <f t="shared" si="38"/>
        <v>0</v>
      </c>
      <c r="L163" s="11">
        <f t="shared" si="39"/>
        <v>6.24</v>
      </c>
      <c r="M163" s="11">
        <f t="shared" si="40"/>
        <v>34.252000000000002</v>
      </c>
      <c r="N163" s="11">
        <f t="shared" si="41"/>
        <v>0</v>
      </c>
    </row>
    <row r="164" spans="1:17" ht="14.1" customHeight="1" x14ac:dyDescent="0.2">
      <c r="C164" s="116">
        <v>0</v>
      </c>
      <c r="D164" s="15">
        <v>100</v>
      </c>
      <c r="E164" s="20">
        <v>6.2600000000000003E-2</v>
      </c>
      <c r="F164" s="21">
        <v>745</v>
      </c>
      <c r="G164" s="17">
        <f t="shared" si="36"/>
        <v>0</v>
      </c>
      <c r="H164" s="11">
        <f t="shared" si="37"/>
        <v>46.637</v>
      </c>
      <c r="I164" s="29">
        <v>0.2</v>
      </c>
      <c r="J164" s="32">
        <v>52</v>
      </c>
      <c r="K164" s="17">
        <f t="shared" si="38"/>
        <v>0</v>
      </c>
      <c r="L164" s="11">
        <f t="shared" si="39"/>
        <v>10.4</v>
      </c>
      <c r="M164" s="11">
        <f t="shared" si="40"/>
        <v>57.036999999999999</v>
      </c>
      <c r="N164" s="11">
        <f t="shared" si="41"/>
        <v>0</v>
      </c>
    </row>
    <row r="165" spans="1:17" ht="14.1" customHeight="1" x14ac:dyDescent="0.2">
      <c r="C165" s="116">
        <v>0</v>
      </c>
      <c r="D165" s="15">
        <v>200</v>
      </c>
      <c r="E165" s="20">
        <v>0.125</v>
      </c>
      <c r="F165" s="21">
        <v>745</v>
      </c>
      <c r="G165" s="17">
        <f t="shared" si="36"/>
        <v>0</v>
      </c>
      <c r="H165" s="11">
        <f t="shared" si="37"/>
        <v>93.125</v>
      </c>
      <c r="I165" s="29">
        <v>0.4</v>
      </c>
      <c r="J165" s="32">
        <v>52</v>
      </c>
      <c r="K165" s="17">
        <f t="shared" si="38"/>
        <v>0</v>
      </c>
      <c r="L165" s="11">
        <f t="shared" si="39"/>
        <v>20.8</v>
      </c>
      <c r="M165" s="11">
        <f t="shared" si="40"/>
        <v>113.925</v>
      </c>
      <c r="N165" s="11">
        <f t="shared" si="41"/>
        <v>0</v>
      </c>
    </row>
    <row r="166" spans="1:17" ht="14.1" customHeight="1" x14ac:dyDescent="0.2">
      <c r="L166" s="225" t="s">
        <v>12</v>
      </c>
      <c r="M166" s="226"/>
      <c r="N166" s="4">
        <f>SUM(N158:N165)</f>
        <v>0</v>
      </c>
    </row>
    <row r="167" spans="1:17" ht="14.1" customHeight="1" x14ac:dyDescent="0.2">
      <c r="L167" s="225" t="s">
        <v>161</v>
      </c>
      <c r="M167" s="226"/>
      <c r="N167" s="91">
        <f>SUMPRODUCT(C158:C165,E158:E165)</f>
        <v>0</v>
      </c>
    </row>
    <row r="168" spans="1:17" ht="14.1" customHeight="1" x14ac:dyDescent="0.25">
      <c r="B168" s="214" t="s">
        <v>224</v>
      </c>
      <c r="C168" s="214"/>
      <c r="D168" s="214"/>
      <c r="L168" s="225" t="s">
        <v>162</v>
      </c>
      <c r="M168" s="226"/>
      <c r="N168" s="91">
        <f>SUMPRODUCT(C158:C165,I158:I165)</f>
        <v>0</v>
      </c>
    </row>
    <row r="170" spans="1:17" ht="30" customHeight="1" x14ac:dyDescent="0.2">
      <c r="A170" s="271" t="s">
        <v>220</v>
      </c>
      <c r="B170" s="271"/>
      <c r="C170" s="271"/>
      <c r="D170" s="271"/>
      <c r="E170" s="271"/>
      <c r="F170" s="271"/>
      <c r="G170" s="271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</row>
    <row r="172" spans="1:17" ht="14.1" customHeight="1" x14ac:dyDescent="0.2">
      <c r="J172" s="192" t="s">
        <v>54</v>
      </c>
      <c r="K172" s="192"/>
      <c r="L172" s="192"/>
      <c r="M172" s="192"/>
    </row>
    <row r="173" spans="1:17" ht="14.1" customHeight="1" x14ac:dyDescent="0.2">
      <c r="J173" s="23" t="s">
        <v>58</v>
      </c>
      <c r="K173" s="23"/>
      <c r="L173" s="23"/>
      <c r="M173" s="23"/>
    </row>
    <row r="174" spans="1:17" ht="14.1" customHeight="1" x14ac:dyDescent="0.2">
      <c r="J174" s="23" t="s">
        <v>10</v>
      </c>
      <c r="K174" s="23"/>
      <c r="L174" s="23"/>
      <c r="M174" s="23"/>
    </row>
    <row r="175" spans="1:17" ht="14.1" customHeight="1" x14ac:dyDescent="0.2">
      <c r="J175" s="192" t="s">
        <v>59</v>
      </c>
      <c r="K175" s="192"/>
      <c r="L175" s="192"/>
      <c r="M175" s="192"/>
    </row>
    <row r="177" spans="2:16" ht="20.100000000000001" customHeight="1" x14ac:dyDescent="0.2">
      <c r="D177" s="194" t="s">
        <v>221</v>
      </c>
      <c r="E177" s="194"/>
      <c r="F177" s="194"/>
      <c r="G177" s="194"/>
      <c r="H177" s="194"/>
      <c r="I177" s="194"/>
      <c r="J177" s="194"/>
      <c r="K177" s="194"/>
      <c r="L177" s="194"/>
      <c r="M177" s="194"/>
    </row>
    <row r="178" spans="2:16" s="8" customFormat="1" ht="25.5" customHeight="1" x14ac:dyDescent="0.2">
      <c r="D178" s="189" t="s">
        <v>195</v>
      </c>
      <c r="E178" s="189" t="s">
        <v>196</v>
      </c>
      <c r="F178" s="189" t="s">
        <v>199</v>
      </c>
      <c r="G178" s="189" t="s">
        <v>184</v>
      </c>
      <c r="H178" s="230" t="s">
        <v>197</v>
      </c>
      <c r="I178" s="221" t="s">
        <v>231</v>
      </c>
      <c r="J178" s="221"/>
      <c r="K178" s="221"/>
      <c r="L178" s="221"/>
      <c r="M178" s="189" t="s">
        <v>178</v>
      </c>
    </row>
    <row r="179" spans="2:16" ht="21.75" customHeight="1" x14ac:dyDescent="0.2">
      <c r="D179" s="189"/>
      <c r="E179" s="189"/>
      <c r="F179" s="189"/>
      <c r="G179" s="189"/>
      <c r="H179" s="274"/>
      <c r="I179" s="221"/>
      <c r="J179" s="221"/>
      <c r="K179" s="221"/>
      <c r="L179" s="221"/>
      <c r="M179" s="189"/>
    </row>
    <row r="180" spans="2:16" ht="14.1" customHeight="1" x14ac:dyDescent="0.2">
      <c r="D180" s="189"/>
      <c r="E180" s="189"/>
      <c r="F180" s="189"/>
      <c r="G180" s="230"/>
      <c r="H180" s="274"/>
      <c r="I180" s="33" t="s">
        <v>1</v>
      </c>
      <c r="J180" s="33" t="s">
        <v>2</v>
      </c>
      <c r="K180" s="33" t="s">
        <v>3</v>
      </c>
      <c r="L180" s="33" t="s">
        <v>4</v>
      </c>
      <c r="M180" s="189"/>
    </row>
    <row r="181" spans="2:16" ht="14.1" customHeight="1" x14ac:dyDescent="0.2">
      <c r="D181" s="115">
        <v>0</v>
      </c>
      <c r="E181" s="68">
        <v>1</v>
      </c>
      <c r="F181" s="115">
        <v>0</v>
      </c>
      <c r="G181" s="15">
        <f>(D181*100)*E181*F181</f>
        <v>0</v>
      </c>
      <c r="H181" s="15">
        <v>38</v>
      </c>
      <c r="I181" s="29">
        <f>G181/(H181*1000)</f>
        <v>0</v>
      </c>
      <c r="J181" s="11">
        <v>82</v>
      </c>
      <c r="K181" s="113">
        <v>0</v>
      </c>
      <c r="L181" s="11">
        <f>J181*(1-K181)</f>
        <v>82</v>
      </c>
      <c r="M181" s="11">
        <f>L181*I181</f>
        <v>0</v>
      </c>
    </row>
    <row r="182" spans="2:16" ht="14.1" customHeight="1" x14ac:dyDescent="0.2">
      <c r="D182" s="115">
        <v>0</v>
      </c>
      <c r="E182" s="68">
        <v>2</v>
      </c>
      <c r="F182" s="115">
        <v>0</v>
      </c>
      <c r="G182" s="15">
        <f t="shared" ref="G182" si="42">(D182*100)*E182*F182</f>
        <v>0</v>
      </c>
      <c r="H182" s="15">
        <v>38</v>
      </c>
      <c r="I182" s="29">
        <f t="shared" ref="I182" si="43">G182/(H182*1000)</f>
        <v>0</v>
      </c>
      <c r="J182" s="11">
        <v>82</v>
      </c>
      <c r="K182" s="17">
        <f>$K$181</f>
        <v>0</v>
      </c>
      <c r="L182" s="11">
        <f>J182*(1-K182)</f>
        <v>82</v>
      </c>
      <c r="M182" s="11">
        <f t="shared" ref="M182" si="44">L182*I182</f>
        <v>0</v>
      </c>
    </row>
    <row r="183" spans="2:16" ht="14.1" customHeight="1" x14ac:dyDescent="0.2">
      <c r="D183" s="119"/>
      <c r="K183" s="216" t="s">
        <v>12</v>
      </c>
      <c r="L183" s="217"/>
      <c r="M183" s="41">
        <f>SUM(M178:M182)</f>
        <v>0</v>
      </c>
    </row>
    <row r="184" spans="2:16" ht="14.1" customHeight="1" x14ac:dyDescent="0.2">
      <c r="K184" s="216" t="s">
        <v>180</v>
      </c>
      <c r="L184" s="217"/>
      <c r="M184" s="94">
        <f>SUM(I181:I182)</f>
        <v>0</v>
      </c>
    </row>
    <row r="187" spans="2:16" s="8" customFormat="1" ht="20.100000000000001" customHeight="1" x14ac:dyDescent="0.2">
      <c r="B187" s="246" t="s">
        <v>232</v>
      </c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  <c r="N187" s="246"/>
      <c r="O187" s="246"/>
      <c r="P187" s="246"/>
    </row>
    <row r="188" spans="2:16" ht="24.75" customHeight="1" x14ac:dyDescent="0.2">
      <c r="B188" s="189" t="s">
        <v>195</v>
      </c>
      <c r="C188" s="189" t="s">
        <v>196</v>
      </c>
      <c r="D188" s="189" t="s">
        <v>199</v>
      </c>
      <c r="E188" s="189" t="s">
        <v>198</v>
      </c>
      <c r="F188" s="189" t="s">
        <v>202</v>
      </c>
      <c r="G188" s="230" t="s">
        <v>197</v>
      </c>
      <c r="H188" s="221" t="s">
        <v>231</v>
      </c>
      <c r="I188" s="221"/>
      <c r="J188" s="221"/>
      <c r="K188" s="221"/>
      <c r="L188" s="221" t="s">
        <v>204</v>
      </c>
      <c r="M188" s="221"/>
      <c r="N188" s="221"/>
      <c r="O188" s="221"/>
      <c r="P188" s="189" t="s">
        <v>178</v>
      </c>
    </row>
    <row r="189" spans="2:16" ht="14.1" customHeight="1" x14ac:dyDescent="0.2">
      <c r="B189" s="189"/>
      <c r="C189" s="189"/>
      <c r="D189" s="189"/>
      <c r="E189" s="189"/>
      <c r="F189" s="189"/>
      <c r="G189" s="274"/>
      <c r="H189" s="221"/>
      <c r="I189" s="221"/>
      <c r="J189" s="221"/>
      <c r="K189" s="221"/>
      <c r="L189" s="221"/>
      <c r="M189" s="221"/>
      <c r="N189" s="221"/>
      <c r="O189" s="221"/>
      <c r="P189" s="189"/>
    </row>
    <row r="190" spans="2:16" ht="14.1" customHeight="1" x14ac:dyDescent="0.2">
      <c r="B190" s="189"/>
      <c r="C190" s="189"/>
      <c r="D190" s="189"/>
      <c r="E190" s="189"/>
      <c r="F190" s="230"/>
      <c r="G190" s="274"/>
      <c r="H190" s="33" t="s">
        <v>1</v>
      </c>
      <c r="I190" s="33" t="s">
        <v>2</v>
      </c>
      <c r="J190" s="33" t="s">
        <v>3</v>
      </c>
      <c r="K190" s="33" t="s">
        <v>4</v>
      </c>
      <c r="L190" s="69" t="s">
        <v>50</v>
      </c>
      <c r="M190" s="69" t="s">
        <v>51</v>
      </c>
      <c r="N190" s="69" t="s">
        <v>3</v>
      </c>
      <c r="O190" s="69" t="s">
        <v>4</v>
      </c>
      <c r="P190" s="189"/>
    </row>
    <row r="191" spans="2:16" ht="14.1" customHeight="1" x14ac:dyDescent="0.2">
      <c r="B191" s="115">
        <v>0</v>
      </c>
      <c r="C191" s="115">
        <v>0</v>
      </c>
      <c r="D191" s="115">
        <v>0</v>
      </c>
      <c r="E191" s="68">
        <v>10</v>
      </c>
      <c r="F191" s="15">
        <f>(B191*100)*C191*E191</f>
        <v>0</v>
      </c>
      <c r="G191" s="15">
        <v>38</v>
      </c>
      <c r="H191" s="29">
        <f>F191/(G191*1000)</f>
        <v>0</v>
      </c>
      <c r="I191" s="11">
        <v>82</v>
      </c>
      <c r="J191" s="113">
        <v>0</v>
      </c>
      <c r="K191" s="11">
        <f>I191*(1-J191)</f>
        <v>82</v>
      </c>
      <c r="L191" s="15">
        <f>((((B191*100)*C191*D191)-F191)/1000000)*90</f>
        <v>0</v>
      </c>
      <c r="M191" s="11">
        <v>7.43</v>
      </c>
      <c r="N191" s="113">
        <v>0</v>
      </c>
      <c r="O191" s="15">
        <f>M191*(1-N191)</f>
        <v>7.43</v>
      </c>
      <c r="P191" s="11">
        <f>K191*H191+(O191*L191)</f>
        <v>0</v>
      </c>
    </row>
    <row r="192" spans="2:16" ht="14.1" customHeight="1" x14ac:dyDescent="0.2">
      <c r="B192" s="115">
        <v>0</v>
      </c>
      <c r="C192" s="115">
        <v>0</v>
      </c>
      <c r="D192" s="115">
        <v>0</v>
      </c>
      <c r="E192" s="68">
        <v>10</v>
      </c>
      <c r="F192" s="15">
        <f>(B192*100)*C192*E192</f>
        <v>0</v>
      </c>
      <c r="G192" s="15">
        <v>38</v>
      </c>
      <c r="H192" s="29">
        <f t="shared" ref="H192:H193" si="45">F192/(G192*1000)</f>
        <v>0</v>
      </c>
      <c r="I192" s="11">
        <v>82</v>
      </c>
      <c r="J192" s="17">
        <f>$J$191</f>
        <v>0</v>
      </c>
      <c r="K192" s="11">
        <f>I192*(1-J193)</f>
        <v>82</v>
      </c>
      <c r="L192" s="15">
        <f t="shared" ref="L192:L193" si="46">((((B192*100)*C192*D192)-F192)/1000000)*90</f>
        <v>0</v>
      </c>
      <c r="M192" s="11">
        <v>7.43</v>
      </c>
      <c r="N192" s="75">
        <f>$N$191</f>
        <v>0</v>
      </c>
      <c r="O192" s="15">
        <f t="shared" ref="O192:O193" si="47">M192*(1-N192)</f>
        <v>7.43</v>
      </c>
      <c r="P192" s="11">
        <f t="shared" ref="P192:P193" si="48">K192*H192+(O192*L192)</f>
        <v>0</v>
      </c>
    </row>
    <row r="193" spans="1:17" ht="14.1" customHeight="1" x14ac:dyDescent="0.2">
      <c r="B193" s="115">
        <v>0</v>
      </c>
      <c r="C193" s="115">
        <v>0</v>
      </c>
      <c r="D193" s="115">
        <v>0</v>
      </c>
      <c r="E193" s="68">
        <v>10</v>
      </c>
      <c r="F193" s="15">
        <f>(B193*100)*C193*E193</f>
        <v>0</v>
      </c>
      <c r="G193" s="15">
        <v>38</v>
      </c>
      <c r="H193" s="29">
        <f t="shared" si="45"/>
        <v>0</v>
      </c>
      <c r="I193" s="11">
        <v>82</v>
      </c>
      <c r="J193" s="17">
        <f>$J$191</f>
        <v>0</v>
      </c>
      <c r="K193" s="11">
        <f>I193*(1-K194)</f>
        <v>82</v>
      </c>
      <c r="L193" s="15">
        <f t="shared" si="46"/>
        <v>0</v>
      </c>
      <c r="M193" s="11">
        <v>7.43</v>
      </c>
      <c r="N193" s="75">
        <f>$N$191</f>
        <v>0</v>
      </c>
      <c r="O193" s="15">
        <f t="shared" si="47"/>
        <v>7.43</v>
      </c>
      <c r="P193" s="11">
        <f t="shared" si="48"/>
        <v>0</v>
      </c>
    </row>
    <row r="194" spans="1:17" ht="14.1" customHeight="1" x14ac:dyDescent="0.2">
      <c r="N194" s="216" t="s">
        <v>12</v>
      </c>
      <c r="O194" s="217"/>
      <c r="P194" s="41">
        <f>SUM(P191:P193)</f>
        <v>0</v>
      </c>
    </row>
    <row r="195" spans="1:17" ht="14.1" customHeight="1" x14ac:dyDescent="0.2">
      <c r="N195" s="216" t="s">
        <v>180</v>
      </c>
      <c r="O195" s="217"/>
      <c r="P195" s="94">
        <f>SUM(H191:H193)</f>
        <v>0</v>
      </c>
    </row>
    <row r="196" spans="1:17" ht="14.1" customHeight="1" x14ac:dyDescent="0.25">
      <c r="B196" s="214" t="s">
        <v>224</v>
      </c>
      <c r="C196" s="214"/>
      <c r="D196" s="214"/>
      <c r="N196" s="216" t="s">
        <v>203</v>
      </c>
      <c r="O196" s="217"/>
      <c r="P196" s="92">
        <f>SUM(L191:L193)</f>
        <v>0</v>
      </c>
    </row>
    <row r="198" spans="1:17" ht="14.1" customHeight="1" x14ac:dyDescent="0.25">
      <c r="B198" s="121"/>
    </row>
    <row r="201" spans="1:17" ht="32.25" customHeight="1" x14ac:dyDescent="0.2">
      <c r="A201" s="271" t="s">
        <v>268</v>
      </c>
      <c r="B201" s="271"/>
      <c r="C201" s="271"/>
      <c r="D201" s="271"/>
      <c r="E201" s="271"/>
      <c r="F201" s="271"/>
      <c r="G201" s="271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</row>
    <row r="204" spans="1:17" ht="14.1" customHeight="1" x14ac:dyDescent="0.2">
      <c r="J204" s="9" t="s">
        <v>54</v>
      </c>
    </row>
    <row r="205" spans="1:17" ht="14.1" customHeight="1" x14ac:dyDescent="0.2">
      <c r="J205" s="9" t="s">
        <v>145</v>
      </c>
    </row>
    <row r="206" spans="1:17" ht="14.1" customHeight="1" x14ac:dyDescent="0.2">
      <c r="J206" s="9" t="s">
        <v>55</v>
      </c>
    </row>
    <row r="207" spans="1:17" ht="14.1" customHeight="1" x14ac:dyDescent="0.2">
      <c r="J207" s="9" t="s">
        <v>10</v>
      </c>
    </row>
    <row r="208" spans="1:17" ht="14.1" customHeight="1" x14ac:dyDescent="0.2">
      <c r="J208" s="9" t="s">
        <v>56</v>
      </c>
    </row>
    <row r="211" spans="3:14" ht="15.75" customHeight="1" x14ac:dyDescent="0.2">
      <c r="C211" s="194" t="s">
        <v>280</v>
      </c>
      <c r="D211" s="194"/>
      <c r="E211" s="194"/>
      <c r="F211" s="194"/>
      <c r="G211" s="194"/>
      <c r="H211" s="194"/>
      <c r="I211" s="194"/>
      <c r="J211" s="194"/>
      <c r="K211" s="194"/>
      <c r="L211" s="194"/>
      <c r="M211" s="194"/>
      <c r="N211" s="194"/>
    </row>
    <row r="212" spans="3:14" s="2" customFormat="1" ht="27.75" customHeight="1" x14ac:dyDescent="0.25">
      <c r="C212" s="230" t="s">
        <v>130</v>
      </c>
      <c r="D212" s="230" t="s">
        <v>271</v>
      </c>
      <c r="E212" s="222" t="s">
        <v>269</v>
      </c>
      <c r="F212" s="223"/>
      <c r="G212" s="223"/>
      <c r="H212" s="224"/>
      <c r="I212" s="222" t="s">
        <v>142</v>
      </c>
      <c r="J212" s="223"/>
      <c r="K212" s="223"/>
      <c r="L212" s="224"/>
      <c r="M212" s="230" t="s">
        <v>122</v>
      </c>
      <c r="N212" s="230" t="s">
        <v>12</v>
      </c>
    </row>
    <row r="213" spans="3:14" ht="23.25" customHeight="1" x14ac:dyDescent="0.2">
      <c r="C213" s="231"/>
      <c r="D213" s="231"/>
      <c r="E213" s="26" t="s">
        <v>1</v>
      </c>
      <c r="F213" s="26" t="s">
        <v>2</v>
      </c>
      <c r="G213" s="26" t="s">
        <v>3</v>
      </c>
      <c r="H213" s="26" t="s">
        <v>4</v>
      </c>
      <c r="I213" s="26" t="s">
        <v>164</v>
      </c>
      <c r="J213" s="26" t="s">
        <v>165</v>
      </c>
      <c r="K213" s="26" t="s">
        <v>3</v>
      </c>
      <c r="L213" s="26" t="s">
        <v>4</v>
      </c>
      <c r="M213" s="231"/>
      <c r="N213" s="231"/>
    </row>
    <row r="214" spans="3:14" ht="12.75" x14ac:dyDescent="0.2">
      <c r="C214" s="116">
        <v>0</v>
      </c>
      <c r="D214" s="5">
        <v>10</v>
      </c>
      <c r="E214" s="28">
        <v>3.2000000000000002E-3</v>
      </c>
      <c r="F214" s="31">
        <v>675</v>
      </c>
      <c r="G214" s="114">
        <v>0</v>
      </c>
      <c r="H214" s="11">
        <f>F214*(1-G214)*E214</f>
        <v>2.16</v>
      </c>
      <c r="I214" s="34">
        <v>0.02</v>
      </c>
      <c r="J214" s="32">
        <v>58</v>
      </c>
      <c r="K214" s="114">
        <v>0</v>
      </c>
      <c r="L214" s="11">
        <f>J214*(1-K214)*I214</f>
        <v>1.1599999999999999</v>
      </c>
      <c r="M214" s="11">
        <f>L214+H214</f>
        <v>3.3200000000000003</v>
      </c>
      <c r="N214" s="11">
        <f>M214*C214</f>
        <v>0</v>
      </c>
    </row>
    <row r="215" spans="3:14" ht="14.1" customHeight="1" x14ac:dyDescent="0.2">
      <c r="C215" s="116">
        <v>0</v>
      </c>
      <c r="D215" s="5">
        <v>20</v>
      </c>
      <c r="E215" s="28">
        <v>6.3E-3</v>
      </c>
      <c r="F215" s="31">
        <v>675</v>
      </c>
      <c r="G215" s="17">
        <f>$G$214</f>
        <v>0</v>
      </c>
      <c r="H215" s="11">
        <f t="shared" ref="H215:H220" si="49">F215*(1-G215)*E215</f>
        <v>4.2525000000000004</v>
      </c>
      <c r="I215" s="29">
        <v>0.04</v>
      </c>
      <c r="J215" s="32">
        <v>58</v>
      </c>
      <c r="K215" s="17">
        <f>$K$214</f>
        <v>0</v>
      </c>
      <c r="L215" s="11">
        <f t="shared" ref="L215:L220" si="50">J215*(1-K215)*I215</f>
        <v>2.3199999999999998</v>
      </c>
      <c r="M215" s="11">
        <f t="shared" ref="M215:M220" si="51">L215+H215</f>
        <v>6.5724999999999998</v>
      </c>
      <c r="N215" s="11">
        <f t="shared" ref="N215:N220" si="52">M215*C215</f>
        <v>0</v>
      </c>
    </row>
    <row r="216" spans="3:14" ht="14.1" customHeight="1" x14ac:dyDescent="0.2">
      <c r="C216" s="116">
        <v>0</v>
      </c>
      <c r="D216" s="5">
        <v>30</v>
      </c>
      <c r="E216" s="28">
        <v>9.4000000000000004E-3</v>
      </c>
      <c r="F216" s="31">
        <v>675</v>
      </c>
      <c r="G216" s="17">
        <f t="shared" ref="G216:G220" si="53">$G$214</f>
        <v>0</v>
      </c>
      <c r="H216" s="11">
        <f t="shared" si="49"/>
        <v>6.3450000000000006</v>
      </c>
      <c r="I216" s="29">
        <v>0.06</v>
      </c>
      <c r="J216" s="32">
        <v>58</v>
      </c>
      <c r="K216" s="17">
        <f t="shared" ref="K216:K220" si="54">$K$214</f>
        <v>0</v>
      </c>
      <c r="L216" s="11">
        <f t="shared" si="50"/>
        <v>3.48</v>
      </c>
      <c r="M216" s="11">
        <f t="shared" si="51"/>
        <v>9.8250000000000011</v>
      </c>
      <c r="N216" s="11">
        <f t="shared" si="52"/>
        <v>0</v>
      </c>
    </row>
    <row r="217" spans="3:14" ht="14.1" customHeight="1" x14ac:dyDescent="0.2">
      <c r="C217" s="116">
        <v>0</v>
      </c>
      <c r="D217" s="15">
        <v>40</v>
      </c>
      <c r="E217" s="28">
        <v>1.2500000000000001E-2</v>
      </c>
      <c r="F217" s="31">
        <v>675</v>
      </c>
      <c r="G217" s="17">
        <f t="shared" si="53"/>
        <v>0</v>
      </c>
      <c r="H217" s="11">
        <f t="shared" si="49"/>
        <v>8.4375</v>
      </c>
      <c r="I217" s="29">
        <v>0.08</v>
      </c>
      <c r="J217" s="32">
        <v>58</v>
      </c>
      <c r="K217" s="17">
        <f t="shared" si="54"/>
        <v>0</v>
      </c>
      <c r="L217" s="11">
        <f t="shared" si="50"/>
        <v>4.6399999999999997</v>
      </c>
      <c r="M217" s="11">
        <f t="shared" si="51"/>
        <v>13.077500000000001</v>
      </c>
      <c r="N217" s="11">
        <f t="shared" si="52"/>
        <v>0</v>
      </c>
    </row>
    <row r="218" spans="3:14" ht="14.1" customHeight="1" x14ac:dyDescent="0.2">
      <c r="C218" s="116">
        <v>0</v>
      </c>
      <c r="D218" s="15">
        <v>50</v>
      </c>
      <c r="E218" s="28">
        <v>1.5599999999999999E-2</v>
      </c>
      <c r="F218" s="31">
        <v>675</v>
      </c>
      <c r="G218" s="17">
        <f t="shared" si="53"/>
        <v>0</v>
      </c>
      <c r="H218" s="11">
        <f t="shared" si="49"/>
        <v>10.53</v>
      </c>
      <c r="I218" s="29">
        <v>0.1</v>
      </c>
      <c r="J218" s="32">
        <v>58</v>
      </c>
      <c r="K218" s="17">
        <f t="shared" si="54"/>
        <v>0</v>
      </c>
      <c r="L218" s="11">
        <f t="shared" si="50"/>
        <v>5.8000000000000007</v>
      </c>
      <c r="M218" s="11">
        <f t="shared" si="51"/>
        <v>16.329999999999998</v>
      </c>
      <c r="N218" s="11">
        <f t="shared" si="52"/>
        <v>0</v>
      </c>
    </row>
    <row r="219" spans="3:14" ht="14.1" customHeight="1" x14ac:dyDescent="0.2">
      <c r="C219" s="116">
        <v>0</v>
      </c>
      <c r="D219" s="15">
        <v>100</v>
      </c>
      <c r="E219" s="28">
        <v>3.15E-2</v>
      </c>
      <c r="F219" s="31">
        <v>675</v>
      </c>
      <c r="G219" s="17">
        <f t="shared" si="53"/>
        <v>0</v>
      </c>
      <c r="H219" s="11">
        <f t="shared" si="49"/>
        <v>21.262499999999999</v>
      </c>
      <c r="I219" s="29">
        <v>0.2</v>
      </c>
      <c r="J219" s="32">
        <v>58</v>
      </c>
      <c r="K219" s="17">
        <f t="shared" si="54"/>
        <v>0</v>
      </c>
      <c r="L219" s="11">
        <f t="shared" si="50"/>
        <v>11.600000000000001</v>
      </c>
      <c r="M219" s="11">
        <f t="shared" si="51"/>
        <v>32.862499999999997</v>
      </c>
      <c r="N219" s="11">
        <f t="shared" si="52"/>
        <v>0</v>
      </c>
    </row>
    <row r="220" spans="3:14" ht="14.1" customHeight="1" x14ac:dyDescent="0.2">
      <c r="C220" s="116">
        <v>0</v>
      </c>
      <c r="D220" s="15">
        <v>120</v>
      </c>
      <c r="E220" s="28">
        <v>3.7999999999999999E-2</v>
      </c>
      <c r="F220" s="31">
        <v>675</v>
      </c>
      <c r="G220" s="17">
        <f t="shared" si="53"/>
        <v>0</v>
      </c>
      <c r="H220" s="11">
        <f t="shared" si="49"/>
        <v>25.65</v>
      </c>
      <c r="I220" s="29">
        <v>0.24</v>
      </c>
      <c r="J220" s="32">
        <v>58</v>
      </c>
      <c r="K220" s="17">
        <f t="shared" si="54"/>
        <v>0</v>
      </c>
      <c r="L220" s="11">
        <f t="shared" si="50"/>
        <v>13.92</v>
      </c>
      <c r="M220" s="11">
        <f t="shared" si="51"/>
        <v>39.57</v>
      </c>
      <c r="N220" s="11">
        <f t="shared" si="52"/>
        <v>0</v>
      </c>
    </row>
    <row r="221" spans="3:14" ht="14.1" customHeight="1" x14ac:dyDescent="0.2">
      <c r="L221" s="225" t="s">
        <v>12</v>
      </c>
      <c r="M221" s="226"/>
      <c r="N221" s="4">
        <f>SUM(N214:N220)</f>
        <v>0</v>
      </c>
    </row>
    <row r="222" spans="3:14" ht="14.1" customHeight="1" x14ac:dyDescent="0.2">
      <c r="L222" s="225" t="s">
        <v>161</v>
      </c>
      <c r="M222" s="226"/>
      <c r="N222" s="91">
        <f>SUMPRODUCT(C214:C220,E214:E220)</f>
        <v>0</v>
      </c>
    </row>
    <row r="223" spans="3:14" ht="14.1" customHeight="1" x14ac:dyDescent="0.2">
      <c r="L223" s="225" t="s">
        <v>162</v>
      </c>
      <c r="M223" s="226"/>
      <c r="N223" s="91">
        <f>SUMPRODUCT(C214:C220,I214:I220)</f>
        <v>0</v>
      </c>
    </row>
    <row r="225" spans="2:14" ht="14.1" customHeight="1" x14ac:dyDescent="0.2">
      <c r="C225" s="194" t="s">
        <v>270</v>
      </c>
      <c r="D225" s="194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</row>
    <row r="226" spans="2:14" ht="27" customHeight="1" x14ac:dyDescent="0.2">
      <c r="C226" s="230" t="s">
        <v>130</v>
      </c>
      <c r="D226" s="230" t="s">
        <v>271</v>
      </c>
      <c r="E226" s="222" t="s">
        <v>269</v>
      </c>
      <c r="F226" s="223"/>
      <c r="G226" s="223"/>
      <c r="H226" s="224"/>
      <c r="I226" s="222" t="s">
        <v>142</v>
      </c>
      <c r="J226" s="223"/>
      <c r="K226" s="223"/>
      <c r="L226" s="224"/>
      <c r="M226" s="230" t="s">
        <v>122</v>
      </c>
      <c r="N226" s="230" t="s">
        <v>12</v>
      </c>
    </row>
    <row r="227" spans="2:14" ht="21" customHeight="1" x14ac:dyDescent="0.2">
      <c r="C227" s="231"/>
      <c r="D227" s="231"/>
      <c r="E227" s="26" t="s">
        <v>1</v>
      </c>
      <c r="F227" s="26" t="s">
        <v>2</v>
      </c>
      <c r="G227" s="26" t="s">
        <v>3</v>
      </c>
      <c r="H227" s="26" t="s">
        <v>4</v>
      </c>
      <c r="I227" s="26" t="s">
        <v>164</v>
      </c>
      <c r="J227" s="26" t="s">
        <v>165</v>
      </c>
      <c r="K227" s="26" t="s">
        <v>3</v>
      </c>
      <c r="L227" s="26" t="s">
        <v>4</v>
      </c>
      <c r="M227" s="231"/>
      <c r="N227" s="231"/>
    </row>
    <row r="228" spans="2:14" ht="14.1" customHeight="1" x14ac:dyDescent="0.2">
      <c r="C228" s="116">
        <v>0</v>
      </c>
      <c r="D228" s="5">
        <v>10</v>
      </c>
      <c r="E228" s="20">
        <f>0.0064+(2*0.0094)</f>
        <v>2.52E-2</v>
      </c>
      <c r="F228" s="31">
        <v>675</v>
      </c>
      <c r="G228" s="114">
        <v>0</v>
      </c>
      <c r="H228" s="11">
        <f>F228*(1-G228)*E228</f>
        <v>17.010000000000002</v>
      </c>
      <c r="I228" s="34">
        <v>0.02</v>
      </c>
      <c r="J228" s="32">
        <v>58</v>
      </c>
      <c r="K228" s="114">
        <v>0</v>
      </c>
      <c r="L228" s="11">
        <f>J228*(1-K228)*I228</f>
        <v>1.1599999999999999</v>
      </c>
      <c r="M228" s="11">
        <f>L228+H228</f>
        <v>18.170000000000002</v>
      </c>
      <c r="N228" s="11">
        <f>M228*C228</f>
        <v>0</v>
      </c>
    </row>
    <row r="229" spans="2:14" ht="14.1" customHeight="1" x14ac:dyDescent="0.2">
      <c r="C229" s="116">
        <v>0</v>
      </c>
      <c r="D229" s="5">
        <v>20</v>
      </c>
      <c r="E229" s="20">
        <f>0.0126+(2*0.0094)</f>
        <v>3.1399999999999997E-2</v>
      </c>
      <c r="F229" s="31">
        <v>675</v>
      </c>
      <c r="G229" s="17">
        <f>$G$228</f>
        <v>0</v>
      </c>
      <c r="H229" s="11">
        <f t="shared" ref="H229:H234" si="55">F229*(1-G229)*E229</f>
        <v>21.194999999999997</v>
      </c>
      <c r="I229" s="29">
        <v>0.04</v>
      </c>
      <c r="J229" s="32">
        <v>58</v>
      </c>
      <c r="K229" s="17">
        <f>$K$228</f>
        <v>0</v>
      </c>
      <c r="L229" s="11">
        <f t="shared" ref="L229:L234" si="56">J229*(1-K229)*I229</f>
        <v>2.3199999999999998</v>
      </c>
      <c r="M229" s="11">
        <f t="shared" ref="M229:M234" si="57">L229+H229</f>
        <v>23.514999999999997</v>
      </c>
      <c r="N229" s="11">
        <f t="shared" ref="N229:N234" si="58">M229*C229</f>
        <v>0</v>
      </c>
    </row>
    <row r="230" spans="2:14" ht="14.1" customHeight="1" x14ac:dyDescent="0.2">
      <c r="C230" s="116">
        <v>0</v>
      </c>
      <c r="D230" s="5">
        <v>30</v>
      </c>
      <c r="E230" s="20">
        <f>0.0188+(2*0.0094)</f>
        <v>3.7600000000000001E-2</v>
      </c>
      <c r="F230" s="31">
        <v>675</v>
      </c>
      <c r="G230" s="17">
        <f t="shared" ref="G230:G234" si="59">$G$228</f>
        <v>0</v>
      </c>
      <c r="H230" s="11">
        <f t="shared" si="55"/>
        <v>25.380000000000003</v>
      </c>
      <c r="I230" s="29">
        <v>0.06</v>
      </c>
      <c r="J230" s="32">
        <v>58</v>
      </c>
      <c r="K230" s="17">
        <f t="shared" ref="K230:K234" si="60">$K$228</f>
        <v>0</v>
      </c>
      <c r="L230" s="11">
        <f t="shared" si="56"/>
        <v>3.48</v>
      </c>
      <c r="M230" s="11">
        <f t="shared" si="57"/>
        <v>28.860000000000003</v>
      </c>
      <c r="N230" s="11">
        <f t="shared" si="58"/>
        <v>0</v>
      </c>
    </row>
    <row r="231" spans="2:14" ht="14.1" customHeight="1" x14ac:dyDescent="0.2">
      <c r="C231" s="116">
        <v>0</v>
      </c>
      <c r="D231" s="15">
        <v>40</v>
      </c>
      <c r="E231" s="20">
        <f>0.025+(2*0.0094)</f>
        <v>4.3800000000000006E-2</v>
      </c>
      <c r="F231" s="31">
        <v>675</v>
      </c>
      <c r="G231" s="17">
        <f t="shared" si="59"/>
        <v>0</v>
      </c>
      <c r="H231" s="11">
        <f t="shared" si="55"/>
        <v>29.565000000000005</v>
      </c>
      <c r="I231" s="29">
        <v>0.08</v>
      </c>
      <c r="J231" s="32">
        <v>58</v>
      </c>
      <c r="K231" s="17">
        <f t="shared" si="60"/>
        <v>0</v>
      </c>
      <c r="L231" s="11">
        <f t="shared" si="56"/>
        <v>4.6399999999999997</v>
      </c>
      <c r="M231" s="11">
        <f t="shared" si="57"/>
        <v>34.205000000000005</v>
      </c>
      <c r="N231" s="11">
        <f t="shared" si="58"/>
        <v>0</v>
      </c>
    </row>
    <row r="232" spans="2:14" ht="14.1" customHeight="1" x14ac:dyDescent="0.2">
      <c r="C232" s="116">
        <v>0</v>
      </c>
      <c r="D232" s="15">
        <v>50</v>
      </c>
      <c r="E232" s="20">
        <f>0.0312+(2*0.0094)</f>
        <v>0.05</v>
      </c>
      <c r="F232" s="31">
        <v>675</v>
      </c>
      <c r="G232" s="17">
        <f t="shared" si="59"/>
        <v>0</v>
      </c>
      <c r="H232" s="11">
        <f t="shared" si="55"/>
        <v>33.75</v>
      </c>
      <c r="I232" s="29">
        <v>0.1</v>
      </c>
      <c r="J232" s="32">
        <v>58</v>
      </c>
      <c r="K232" s="17">
        <f t="shared" si="60"/>
        <v>0</v>
      </c>
      <c r="L232" s="11">
        <f t="shared" si="56"/>
        <v>5.8000000000000007</v>
      </c>
      <c r="M232" s="11">
        <f t="shared" si="57"/>
        <v>39.549999999999997</v>
      </c>
      <c r="N232" s="11">
        <f t="shared" si="58"/>
        <v>0</v>
      </c>
    </row>
    <row r="233" spans="2:14" ht="14.1" customHeight="1" x14ac:dyDescent="0.2">
      <c r="C233" s="116">
        <v>0</v>
      </c>
      <c r="D233" s="15">
        <v>100</v>
      </c>
      <c r="E233" s="20">
        <f>0.063+(2*0.0094)</f>
        <v>8.1799999999999998E-2</v>
      </c>
      <c r="F233" s="31">
        <v>675</v>
      </c>
      <c r="G233" s="17">
        <f t="shared" si="59"/>
        <v>0</v>
      </c>
      <c r="H233" s="11">
        <f t="shared" si="55"/>
        <v>55.214999999999996</v>
      </c>
      <c r="I233" s="29">
        <v>0.2</v>
      </c>
      <c r="J233" s="32">
        <v>58</v>
      </c>
      <c r="K233" s="17">
        <f t="shared" si="60"/>
        <v>0</v>
      </c>
      <c r="L233" s="11">
        <f t="shared" si="56"/>
        <v>11.600000000000001</v>
      </c>
      <c r="M233" s="11">
        <f t="shared" si="57"/>
        <v>66.814999999999998</v>
      </c>
      <c r="N233" s="11">
        <f t="shared" si="58"/>
        <v>0</v>
      </c>
    </row>
    <row r="234" spans="2:14" ht="14.1" customHeight="1" x14ac:dyDescent="0.2">
      <c r="C234" s="116">
        <v>0</v>
      </c>
      <c r="D234" s="15">
        <v>120</v>
      </c>
      <c r="E234" s="20">
        <f>0.076+(2*0.0094)</f>
        <v>9.4799999999999995E-2</v>
      </c>
      <c r="F234" s="31">
        <v>675</v>
      </c>
      <c r="G234" s="17">
        <f t="shared" si="59"/>
        <v>0</v>
      </c>
      <c r="H234" s="11">
        <f t="shared" si="55"/>
        <v>63.989999999999995</v>
      </c>
      <c r="I234" s="29">
        <v>0.24</v>
      </c>
      <c r="J234" s="32">
        <v>58</v>
      </c>
      <c r="K234" s="17">
        <f t="shared" si="60"/>
        <v>0</v>
      </c>
      <c r="L234" s="11">
        <f t="shared" si="56"/>
        <v>13.92</v>
      </c>
      <c r="M234" s="11">
        <f t="shared" si="57"/>
        <v>77.91</v>
      </c>
      <c r="N234" s="11">
        <f t="shared" si="58"/>
        <v>0</v>
      </c>
    </row>
    <row r="235" spans="2:14" ht="14.1" customHeight="1" x14ac:dyDescent="0.2">
      <c r="L235" s="225" t="s">
        <v>12</v>
      </c>
      <c r="M235" s="226"/>
      <c r="N235" s="4">
        <f>SUM(N228:N234)</f>
        <v>0</v>
      </c>
    </row>
    <row r="236" spans="2:14" ht="14.1" customHeight="1" x14ac:dyDescent="0.2">
      <c r="L236" s="225" t="s">
        <v>161</v>
      </c>
      <c r="M236" s="226"/>
      <c r="N236" s="91">
        <f>SUMPRODUCT(C228:C234,E228:E234)</f>
        <v>0</v>
      </c>
    </row>
    <row r="237" spans="2:14" ht="14.1" customHeight="1" x14ac:dyDescent="0.25">
      <c r="B237" s="214" t="s">
        <v>224</v>
      </c>
      <c r="C237" s="214"/>
      <c r="D237" s="214"/>
      <c r="L237" s="225" t="s">
        <v>162</v>
      </c>
      <c r="M237" s="226"/>
      <c r="N237" s="91">
        <f>SUMPRODUCT(C228:C234,I228:I234)</f>
        <v>0</v>
      </c>
    </row>
    <row r="238" spans="2:14" ht="13.5" customHeight="1" x14ac:dyDescent="0.2"/>
  </sheetData>
  <sheetProtection sheet="1" objects="1" scenarios="1"/>
  <dataConsolidate/>
  <mergeCells count="170">
    <mergeCell ref="A104:Q104"/>
    <mergeCell ref="A69:Q69"/>
    <mergeCell ref="L44:M44"/>
    <mergeCell ref="N196:O196"/>
    <mergeCell ref="L100:M100"/>
    <mergeCell ref="L101:M101"/>
    <mergeCell ref="L118:M118"/>
    <mergeCell ref="L119:M119"/>
    <mergeCell ref="L127:M127"/>
    <mergeCell ref="L128:M128"/>
    <mergeCell ref="C47:N47"/>
    <mergeCell ref="C61:C62"/>
    <mergeCell ref="D61:D62"/>
    <mergeCell ref="E61:H61"/>
    <mergeCell ref="I61:L61"/>
    <mergeCell ref="M61:M62"/>
    <mergeCell ref="N61:N62"/>
    <mergeCell ref="C48:C49"/>
    <mergeCell ref="D48:D49"/>
    <mergeCell ref="N195:O195"/>
    <mergeCell ref="B188:B190"/>
    <mergeCell ref="E48:H48"/>
    <mergeCell ref="I48:L48"/>
    <mergeCell ref="D178:D180"/>
    <mergeCell ref="B8:E8"/>
    <mergeCell ref="B9:E9"/>
    <mergeCell ref="K12:M12"/>
    <mergeCell ref="B10:E10"/>
    <mergeCell ref="K13:M13"/>
    <mergeCell ref="K31:N31"/>
    <mergeCell ref="B12:E12"/>
    <mergeCell ref="B13:E13"/>
    <mergeCell ref="B14:E14"/>
    <mergeCell ref="B15:E15"/>
    <mergeCell ref="B16:E16"/>
    <mergeCell ref="B17:E17"/>
    <mergeCell ref="B20:E20"/>
    <mergeCell ref="B21:E21"/>
    <mergeCell ref="K28:N28"/>
    <mergeCell ref="K29:N29"/>
    <mergeCell ref="K30:N30"/>
    <mergeCell ref="B11:E11"/>
    <mergeCell ref="K14:M14"/>
    <mergeCell ref="B18:E18"/>
    <mergeCell ref="B19:E19"/>
    <mergeCell ref="K15:M16"/>
    <mergeCell ref="A26:Q26"/>
    <mergeCell ref="F22:G22"/>
    <mergeCell ref="B22:E22"/>
    <mergeCell ref="O15:O16"/>
    <mergeCell ref="C79:C80"/>
    <mergeCell ref="D79:D80"/>
    <mergeCell ref="E79:H79"/>
    <mergeCell ref="I79:L79"/>
    <mergeCell ref="M79:M80"/>
    <mergeCell ref="N79:N80"/>
    <mergeCell ref="C94:N94"/>
    <mergeCell ref="K32:N32"/>
    <mergeCell ref="B67:D67"/>
    <mergeCell ref="C34:N34"/>
    <mergeCell ref="D35:D36"/>
    <mergeCell ref="E35:H35"/>
    <mergeCell ref="I35:L35"/>
    <mergeCell ref="M35:M36"/>
    <mergeCell ref="N35:N36"/>
    <mergeCell ref="C78:N78"/>
    <mergeCell ref="C60:N60"/>
    <mergeCell ref="C35:C36"/>
    <mergeCell ref="C95:C96"/>
    <mergeCell ref="D95:D96"/>
    <mergeCell ref="E95:H95"/>
    <mergeCell ref="I95:L95"/>
    <mergeCell ref="M95:M96"/>
    <mergeCell ref="N95:N96"/>
    <mergeCell ref="L45:M45"/>
    <mergeCell ref="L57:M57"/>
    <mergeCell ref="L58:M58"/>
    <mergeCell ref="L66:M66"/>
    <mergeCell ref="L67:M67"/>
    <mergeCell ref="L91:M91"/>
    <mergeCell ref="L92:M92"/>
    <mergeCell ref="M48:M49"/>
    <mergeCell ref="N48:N49"/>
    <mergeCell ref="C112:N112"/>
    <mergeCell ref="C113:C114"/>
    <mergeCell ref="D113:D114"/>
    <mergeCell ref="E113:H113"/>
    <mergeCell ref="I113:L113"/>
    <mergeCell ref="M113:M114"/>
    <mergeCell ref="N113:N114"/>
    <mergeCell ref="M141:M142"/>
    <mergeCell ref="N141:N142"/>
    <mergeCell ref="C121:N121"/>
    <mergeCell ref="C141:C142"/>
    <mergeCell ref="D141:D142"/>
    <mergeCell ref="E141:H141"/>
    <mergeCell ref="I141:L141"/>
    <mergeCell ref="A130:Q130"/>
    <mergeCell ref="E122:H122"/>
    <mergeCell ref="I122:L122"/>
    <mergeCell ref="M122:M123"/>
    <mergeCell ref="N122:N123"/>
    <mergeCell ref="C122:C123"/>
    <mergeCell ref="D122:D123"/>
    <mergeCell ref="E188:E190"/>
    <mergeCell ref="F188:F190"/>
    <mergeCell ref="G188:G190"/>
    <mergeCell ref="H188:K189"/>
    <mergeCell ref="H178:H180"/>
    <mergeCell ref="L151:M151"/>
    <mergeCell ref="L152:M152"/>
    <mergeCell ref="L153:M153"/>
    <mergeCell ref="L166:M166"/>
    <mergeCell ref="L167:M167"/>
    <mergeCell ref="A170:Q170"/>
    <mergeCell ref="C188:C190"/>
    <mergeCell ref="E178:E180"/>
    <mergeCell ref="F178:F180"/>
    <mergeCell ref="G178:G180"/>
    <mergeCell ref="I178:L179"/>
    <mergeCell ref="M178:M180"/>
    <mergeCell ref="D177:M177"/>
    <mergeCell ref="B102:D102"/>
    <mergeCell ref="B128:D128"/>
    <mergeCell ref="B168:D168"/>
    <mergeCell ref="B196:D196"/>
    <mergeCell ref="K17:M18"/>
    <mergeCell ref="O17:O18"/>
    <mergeCell ref="P188:P190"/>
    <mergeCell ref="L188:O189"/>
    <mergeCell ref="D188:D190"/>
    <mergeCell ref="B187:P187"/>
    <mergeCell ref="K183:L183"/>
    <mergeCell ref="K184:L184"/>
    <mergeCell ref="N194:O194"/>
    <mergeCell ref="J172:M172"/>
    <mergeCell ref="J175:M175"/>
    <mergeCell ref="L168:M168"/>
    <mergeCell ref="C155:N155"/>
    <mergeCell ref="C156:C157"/>
    <mergeCell ref="D156:D157"/>
    <mergeCell ref="E156:H156"/>
    <mergeCell ref="I156:L156"/>
    <mergeCell ref="M156:M157"/>
    <mergeCell ref="N156:N157"/>
    <mergeCell ref="C140:N140"/>
    <mergeCell ref="L235:M235"/>
    <mergeCell ref="L236:M236"/>
    <mergeCell ref="B237:D237"/>
    <mergeCell ref="L237:M237"/>
    <mergeCell ref="B23:E23"/>
    <mergeCell ref="K19:M19"/>
    <mergeCell ref="L222:M222"/>
    <mergeCell ref="L223:M223"/>
    <mergeCell ref="C225:N225"/>
    <mergeCell ref="C226:C227"/>
    <mergeCell ref="D226:D227"/>
    <mergeCell ref="E226:H226"/>
    <mergeCell ref="I226:L226"/>
    <mergeCell ref="M226:M227"/>
    <mergeCell ref="N226:N227"/>
    <mergeCell ref="A201:Q201"/>
    <mergeCell ref="C211:N211"/>
    <mergeCell ref="C212:C213"/>
    <mergeCell ref="D212:D213"/>
    <mergeCell ref="E212:H212"/>
    <mergeCell ref="I212:L212"/>
    <mergeCell ref="M212:M213"/>
    <mergeCell ref="N212:N213"/>
    <mergeCell ref="L221:M221"/>
  </mergeCells>
  <hyperlinks>
    <hyperlink ref="B9:E9" location="'DYLATACJE I SZCZELINY'!A44" display="ALFA MASTIC 600ml"/>
    <hyperlink ref="B10:E10" location="'DYLATACJE I SZCZELINY'!A44" display="uszczelnienie strop jednostronne do EI 180"/>
    <hyperlink ref="B11:E11" location="'DYLATACJE I SZCZELINY'!A58" display="uszczelnienie strop obustronne do EI 120"/>
    <hyperlink ref="B12:E12" location="'DYLATACJE I SZCZELINY'!A68" display="uszczelnienie ściana obustronne do EI 240"/>
    <hyperlink ref="B13:E13" location="'DYLATACJE I SZCZELINY'!A93" display="ALFA SEALANT"/>
    <hyperlink ref="B14:E14" location="'DYLATACJE I SZCZELINY'!A93" display="uszczelnienie strop jednostronne do EI 120"/>
    <hyperlink ref="B15:E15" location="'DYLATACJE I SZCZELINY'!A103" display="uszczelnienie ściana obustronne do EI 120"/>
    <hyperlink ref="B16:E16" location="'DYLATACJE I SZCZELINY'!A120" display="ALFA FLEXI MASTIC 600ml"/>
    <hyperlink ref="B17:E17" location="'DYLATACJE I SZCZELINY'!A120" display="uszczelnienie ściana/strop głębokość 2x12,5mm"/>
    <hyperlink ref="B18:E18" location="'DYLATACJE I SZCZELINY'!A129" display="uszczelnienie strop, głębokość 2x15mm"/>
    <hyperlink ref="B19:E19" location="'DYLATACJE I SZCZELINY'!A153" display="ASTRO FLEXI COAT"/>
    <hyperlink ref="B20:E20" location="'DYLATACJE I SZCZELINY'!A153" display="dylatacje w ścianach"/>
    <hyperlink ref="B21:E21" location="'DYLATACJE I SZCZELINY'!A169" display="dylatacje w stropach"/>
    <hyperlink ref="B22:E22" location="'DYLATACJE I SZCZELINY'!A198" display="ALFA FOAM FR"/>
    <hyperlink ref="B67" location="'DYLATACJE I SZCZELINY'!A1" display="POWRÓT DO WYBORU SYSTEMU"/>
    <hyperlink ref="B102" location="'DYLATACJE I SZCZELINY'!A1" display="POWRÓT DO WYBORU SYSTEMU"/>
    <hyperlink ref="B128" location="'DYLATACJE I SZCZELINY'!A1" display="POWRÓT DO WYBORU SYSTEMU"/>
    <hyperlink ref="B168" location="'DYLATACJE I SZCZELINY'!A1" display="POWRÓT DO WYBORU SYSTEMU"/>
    <hyperlink ref="B196" location="'DYLATACJE I SZCZELINY'!A1" display="POWRÓT DO WYBORU SYSTEMU"/>
    <hyperlink ref="F22" location="SYSTEMY!A1" display="MENU GŁÓWNE"/>
    <hyperlink ref="B237" location="'DYLATACJE I SZCZELINY'!A1" display="POWRÓT DO WYBORU SYSTEMU"/>
    <hyperlink ref="B23:E23" location="'DYLATACJE I SZCZELINY'!A242" display="FR COATING"/>
  </hyperlinks>
  <printOptions horizontalCentered="1" verticalCentered="1"/>
  <pageMargins left="0.23622047244094502" right="0.23622047244094502" top="0.74803149606299202" bottom="0.74803149606299202" header="0.31496062992126" footer="0.31496062992126"/>
  <pageSetup paperSize="9" scale="59" fitToHeight="0" orientation="landscape" cellComments="atEnd" r:id="rId1"/>
  <headerFooter>
    <oddFooter>&amp;C&amp;</oddFooter>
  </headerFooter>
  <rowBreaks count="6" manualBreakCount="6">
    <brk id="25" max="16" man="1"/>
    <brk id="68" max="16383" man="1"/>
    <brk id="103" max="16" man="1"/>
    <brk id="129" max="16" man="1"/>
    <brk id="169" max="16" man="1"/>
    <brk id="200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Przycisk 1">
              <controlPr defaultSize="0" print="0" autoFill="0" autoPict="0" macro="[0]!PDF_4">
                <anchor moveWithCells="1" sizeWithCells="1">
                  <from>
                    <xdr:col>14</xdr:col>
                    <xdr:colOff>581025</xdr:colOff>
                    <xdr:row>21</xdr:row>
                    <xdr:rowOff>133350</xdr:rowOff>
                  </from>
                  <to>
                    <xdr:col>16</xdr:col>
                    <xdr:colOff>361950</xdr:colOff>
                    <xdr:row>24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9</vt:i4>
      </vt:variant>
    </vt:vector>
  </HeadingPairs>
  <TitlesOfParts>
    <vt:vector size="15" baseType="lpstr">
      <vt:lpstr>SYSTEMY</vt:lpstr>
      <vt:lpstr>RURY PALNE</vt:lpstr>
      <vt:lpstr>RURY PALNE-NOWA TAŚMA</vt:lpstr>
      <vt:lpstr>RURY NIEPALNE</vt:lpstr>
      <vt:lpstr>KABLE, WIĄZKI, KORYTA </vt:lpstr>
      <vt:lpstr>DYLATACJE I SZCZELINY</vt:lpstr>
      <vt:lpstr>'DYLATACJE I SZCZELINY'!Obszar_wydruku</vt:lpstr>
      <vt:lpstr>'KABLE, WIĄZKI, KORYTA '!Obszar_wydruku</vt:lpstr>
      <vt:lpstr>'RURY NIEPALNE'!Obszar_wydruku</vt:lpstr>
      <vt:lpstr>'RURY PALNE'!Obszar_wydruku</vt:lpstr>
      <vt:lpstr>'RURY PALNE-NOWA TAŚMA'!Obszar_wydruku</vt:lpstr>
      <vt:lpstr>'DYLATACJE I SZCZELINY'!Tytuły_wydruku</vt:lpstr>
      <vt:lpstr>'KABLE, WIĄZKI, KORYTA '!Tytuły_wydruku</vt:lpstr>
      <vt:lpstr>'RURY NIEPALNE'!Tytuły_wydruku</vt:lpstr>
      <vt:lpstr>'RURY PALNE'!Tytuły_wydruku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K2</dc:creator>
  <cp:lastModifiedBy>ggozdzik</cp:lastModifiedBy>
  <cp:lastPrinted>2016-11-25T12:18:38Z</cp:lastPrinted>
  <dcterms:created xsi:type="dcterms:W3CDTF">2016-04-27T06:55:15Z</dcterms:created>
  <dcterms:modified xsi:type="dcterms:W3CDTF">2018-01-16T06:54:10Z</dcterms:modified>
</cp:coreProperties>
</file>